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225" windowHeight="7515" tabRatio="955" activeTab="0"/>
  </bookViews>
  <sheets>
    <sheet name="Who" sheetId="1" r:id="rId1"/>
    <sheet name="Rock" sheetId="2" r:id="rId2"/>
    <sheet name="Oils" sheetId="3" r:id="rId3"/>
    <sheet name="OR Mileage" sheetId="4" r:id="rId4"/>
    <sheet name="Marion Co 2012 Chip program" sheetId="5" r:id="rId5"/>
  </sheets>
  <externalReferences>
    <externalReference r:id="rId8"/>
    <externalReference r:id="rId9"/>
  </externalReferences>
  <definedNames>
    <definedName name="_73" localSheetId="4">'[2]Fund - Dept - Div - Program - S'!#REF!</definedName>
    <definedName name="_73">'[1]Fund - Dept - Div - Program - S'!#REF!</definedName>
    <definedName name="_75" localSheetId="4">'[2]Fund - Dept - Div - Program - S'!#REF!</definedName>
    <definedName name="_75">'[1]Fund - Dept - Div - Program - S'!#REF!</definedName>
    <definedName name="_xlfn.BAHTTEXT" hidden="1">#NAME?</definedName>
    <definedName name="_xlnm.Print_Area" localSheetId="4">'Marion Co 2012 Chip program'!$B$2:$AJ$79</definedName>
    <definedName name="_xlnm.Print_Area" localSheetId="2">'Oils'!$B$1:$AP$43</definedName>
    <definedName name="_xlnm.Print_Area" localSheetId="1">'Rock'!$B$1:$AC$46</definedName>
    <definedName name="_xlnm.Print_Area" localSheetId="0">'Who'!$C$6:$CE$51</definedName>
    <definedName name="_xlnm.Print_Titles" localSheetId="0">'Who'!$B:$B,'Who'!$3:$5</definedName>
  </definedNames>
  <calcPr fullCalcOnLoad="1"/>
</workbook>
</file>

<file path=xl/sharedStrings.xml><?xml version="1.0" encoding="utf-8"?>
<sst xmlns="http://schemas.openxmlformats.org/spreadsheetml/2006/main" count="1383" uniqueCount="608">
  <si>
    <t>County</t>
  </si>
  <si>
    <t>Agency</t>
  </si>
  <si>
    <t>Jackson</t>
  </si>
  <si>
    <t>Minutes Requested</t>
  </si>
  <si>
    <t>John Vail</t>
  </si>
  <si>
    <t>Baker</t>
  </si>
  <si>
    <t>Y</t>
  </si>
  <si>
    <t>yes</t>
  </si>
  <si>
    <t>Gilliam</t>
  </si>
  <si>
    <t>Type</t>
  </si>
  <si>
    <t>y</t>
  </si>
  <si>
    <t>Survey 1</t>
  </si>
  <si>
    <t>Klamath</t>
  </si>
  <si>
    <t>Linn</t>
  </si>
  <si>
    <t>Kenny Hamlin</t>
  </si>
  <si>
    <t>Names of Other Attendees if known</t>
  </si>
  <si>
    <t>Tillamook</t>
  </si>
  <si>
    <t>Marion</t>
  </si>
  <si>
    <t>Washington</t>
  </si>
  <si>
    <t>AOC</t>
  </si>
  <si>
    <t>Jon Oshel</t>
  </si>
  <si>
    <t>Beaverton</t>
  </si>
  <si>
    <t>La Grande</t>
  </si>
  <si>
    <t>Totals =</t>
  </si>
  <si>
    <t>Gresham</t>
  </si>
  <si>
    <t>Dennis Hughes</t>
  </si>
  <si>
    <t>Contact if other</t>
  </si>
  <si>
    <t>Rouge River</t>
  </si>
  <si>
    <t>Lake Oswego</t>
  </si>
  <si>
    <t>Benton</t>
  </si>
  <si>
    <t>Andy Anderson</t>
  </si>
  <si>
    <t>Tim Swift</t>
  </si>
  <si>
    <t>1. Centerline Miles</t>
  </si>
  <si>
    <t>treated %</t>
  </si>
  <si>
    <t>2. Overlays Centerline Miles</t>
  </si>
  <si>
    <t>3. Chip Seal Centerline Miles</t>
  </si>
  <si>
    <t>- - -</t>
  </si>
  <si>
    <t>- -</t>
  </si>
  <si>
    <t>Multnomah</t>
  </si>
  <si>
    <t>5a. Oil - HFRS-P1 %</t>
  </si>
  <si>
    <t>4a. Rock 1/4"-10 %</t>
  </si>
  <si>
    <t>4b. Rock 3/8"-10 %</t>
  </si>
  <si>
    <t>4c. Rock 1/2"-1/4" %</t>
  </si>
  <si>
    <t>5c. Oil - CRS-2P %</t>
  </si>
  <si>
    <t>5b. Oil - HFRS-P2 %</t>
  </si>
  <si>
    <t>5d. Oil - CRS-2 %</t>
  </si>
  <si>
    <t>5e. Oil - RSLTP %</t>
  </si>
  <si>
    <t>5f. Oil - PMCRS-2H %</t>
  </si>
  <si>
    <t>5g. Oil - HFE-150 %</t>
  </si>
  <si>
    <t>5h. Oil - AC15P %</t>
  </si>
  <si>
    <t>5. Comments ?</t>
  </si>
  <si>
    <t>4. Comments ?</t>
  </si>
  <si>
    <t>6. Comments ?</t>
  </si>
  <si>
    <t>6. Crack Seal (1 = yes)</t>
  </si>
  <si>
    <t>7. Other Treatments ?</t>
  </si>
  <si>
    <t>7. Comments ?</t>
  </si>
  <si>
    <t>8. % Fog</t>
  </si>
  <si>
    <t>8. Comments ?</t>
  </si>
  <si>
    <t>8. Oil Types</t>
  </si>
  <si>
    <t>9. % Double / Triple shot</t>
  </si>
  <si>
    <t>9. Comments ?</t>
  </si>
  <si>
    <t>10. Comments ?</t>
  </si>
  <si>
    <t>11.a  Prep</t>
  </si>
  <si>
    <t>11.b  Oil Choices</t>
  </si>
  <si>
    <t>11.c  Distribitutor</t>
  </si>
  <si>
    <t>11.d  Oil Applications</t>
  </si>
  <si>
    <t>11.e  Rock mixes</t>
  </si>
  <si>
    <t>11.f  Chip Spreaders</t>
  </si>
  <si>
    <t>11.g  Dump trucks</t>
  </si>
  <si>
    <t>11.h  Rollers</t>
  </si>
  <si>
    <t>11.i  Brooming</t>
  </si>
  <si>
    <t>11.j  Fog Seals</t>
  </si>
  <si>
    <t>11.k  Convert Gravel to Oils</t>
  </si>
  <si>
    <t>11.l  High traffic</t>
  </si>
  <si>
    <t>11.m  Urban Seals</t>
  </si>
  <si>
    <t>11.n  Traffic Control</t>
  </si>
  <si>
    <t>11.o  Workmenship</t>
  </si>
  <si>
    <t>11.p  Eqipment Choices</t>
  </si>
  <si>
    <t>11.q  Lunch / Work Rules</t>
  </si>
  <si>
    <t>11.r  When things go wrong</t>
  </si>
  <si>
    <t>11.s  Contamiants</t>
  </si>
  <si>
    <t>12. Other Topics?</t>
  </si>
  <si>
    <t>91-S Delute</t>
  </si>
  <si>
    <t>91-S</t>
  </si>
  <si>
    <t>9. Oil used</t>
  </si>
  <si>
    <t>9.  Rock used</t>
  </si>
  <si>
    <t>1/2"-1/4"; 1/4" -10</t>
  </si>
  <si>
    <t>9. Convert gravel to oil?</t>
  </si>
  <si>
    <t>9. Convert centerline miles</t>
  </si>
  <si>
    <t>10. Others' Chips ?(1 = yes)</t>
  </si>
  <si>
    <t>10. Others' Centerline miles</t>
  </si>
  <si>
    <t>Blade</t>
  </si>
  <si>
    <t>HFRS-91; HFE90-1S Dilute</t>
  </si>
  <si>
    <t>x</t>
  </si>
  <si>
    <t>CSS-1 Delute</t>
  </si>
  <si>
    <t>X</t>
  </si>
  <si>
    <t>PMCRS-2P</t>
  </si>
  <si>
    <t>range from 3/4" to 1/4"-10</t>
  </si>
  <si>
    <t>1. Attending</t>
  </si>
  <si>
    <t>2. Presenting 1</t>
  </si>
  <si>
    <t>2.b  Presenter</t>
  </si>
  <si>
    <t>David Rubrecht</t>
  </si>
  <si>
    <t>Josephine</t>
  </si>
  <si>
    <t>Wasco</t>
  </si>
  <si>
    <t>Don Uhalde</t>
  </si>
  <si>
    <t>AC patching for leveling &amp; Alligator cracking</t>
  </si>
  <si>
    <t>CRS-2P</t>
  </si>
  <si>
    <t>1/2"-1/4";  3/8"-10;   pavement grindings w/ double oil</t>
  </si>
  <si>
    <t xml:space="preserve">  pavement grindings w/ double oil</t>
  </si>
  <si>
    <t>convert to ellimate ongoing compliants</t>
  </si>
  <si>
    <t>City of Dallas</t>
  </si>
  <si>
    <t>Comments ?</t>
  </si>
  <si>
    <t>Strip Seals;   Chip Seals w/ AC grindings</t>
  </si>
  <si>
    <t>Ryan Miles</t>
  </si>
  <si>
    <t>Oregon City</t>
  </si>
  <si>
    <t>Matt Powlison</t>
  </si>
  <si>
    <t>Kevin Hanks</t>
  </si>
  <si>
    <t>1/4"-10 used on bike ways</t>
  </si>
  <si>
    <t>AC Blade patching /  leveling</t>
  </si>
  <si>
    <t>CSS-1H</t>
  </si>
  <si>
    <t>Have chip for ODOT</t>
  </si>
  <si>
    <t>BLM- Coos Bay</t>
  </si>
  <si>
    <t>Robbie Watson</t>
  </si>
  <si>
    <t>Lane</t>
  </si>
  <si>
    <t>Arno Nelson</t>
  </si>
  <si>
    <t>Emulsion used only at the coast</t>
  </si>
  <si>
    <t>AC pre-leveling</t>
  </si>
  <si>
    <t>range from 3/4" to 3/8"-10</t>
  </si>
  <si>
    <t>minimum road temps fot Hot oils</t>
  </si>
  <si>
    <t>Newberg</t>
  </si>
  <si>
    <t>Howard Whitman</t>
  </si>
  <si>
    <t>AC patching</t>
  </si>
  <si>
    <t>HFRS-P1 Delute</t>
  </si>
  <si>
    <t>AC rubber w/ coated rock</t>
  </si>
  <si>
    <t>Hot chip = AR PG64-22. rubber</t>
  </si>
  <si>
    <t>1-year prior</t>
  </si>
  <si>
    <t>Plug patch</t>
  </si>
  <si>
    <t xml:space="preserve">Rubber chip on low PCI </t>
  </si>
  <si>
    <t>CQS1</t>
  </si>
  <si>
    <t>emulsion only</t>
  </si>
  <si>
    <t>Capes: How soon to apply, rock sizes?</t>
  </si>
  <si>
    <t>Bend</t>
  </si>
  <si>
    <t>Hardy Hanson</t>
  </si>
  <si>
    <t>Jeff Goodman, John Grover, Trent Dashiell</t>
  </si>
  <si>
    <t>Clackamas</t>
  </si>
  <si>
    <t>Fred Nicholas</t>
  </si>
  <si>
    <t>Jim Niggemyer</t>
  </si>
  <si>
    <t>spot failure repaires</t>
  </si>
  <si>
    <t>1/2" - then 3/8"</t>
  </si>
  <si>
    <t>Preservation of cul-de-sacs - garbage truck tears up rock</t>
  </si>
  <si>
    <t>Tigard</t>
  </si>
  <si>
    <t>Mike McCarthy</t>
  </si>
  <si>
    <t>Randy Harmon</t>
  </si>
  <si>
    <t>CSS-1</t>
  </si>
  <si>
    <t>Terry Learfield, Scott Oleson, Danyn Thrope</t>
  </si>
  <si>
    <t>Clark Co, WA</t>
  </si>
  <si>
    <t>Mukilteo, WA</t>
  </si>
  <si>
    <t>Vancouver, WA</t>
  </si>
  <si>
    <t>Bill Wills</t>
  </si>
  <si>
    <t>WASH DOT</t>
  </si>
  <si>
    <t>Jeff Uhimeyer</t>
  </si>
  <si>
    <t>3/8-#4 = 90%</t>
  </si>
  <si>
    <t>prelevel, repairs</t>
  </si>
  <si>
    <t>3/8-#4</t>
  </si>
  <si>
    <t>Chip Seal Costs</t>
  </si>
  <si>
    <t>Crook</t>
  </si>
  <si>
    <t>Penny Keller</t>
  </si>
  <si>
    <t>Tom, Joel &amp; Don</t>
  </si>
  <si>
    <t>staffing is major issue</t>
  </si>
  <si>
    <t>AC pre-leveling, patching, base repairs</t>
  </si>
  <si>
    <t>CRS 2 = 100%;  Hot Chip = 10%</t>
  </si>
  <si>
    <t>tempatures, shot rates, rock rates</t>
  </si>
  <si>
    <t>have applied weeks before chip</t>
  </si>
  <si>
    <t>Snivvy patching, AC repairs</t>
  </si>
  <si>
    <t>Clark county does our chip seals</t>
  </si>
  <si>
    <t>This is our 1st year using chip seals</t>
  </si>
  <si>
    <t>We don't use chipseals because of public non-accetance of loos rock &amp; rough roads</t>
  </si>
  <si>
    <t>Jim Ableman +3</t>
  </si>
  <si>
    <t>Clatsop</t>
  </si>
  <si>
    <t>Kevin Werst</t>
  </si>
  <si>
    <t>Oil &amp; AC patching</t>
  </si>
  <si>
    <t>CSS-1H Dilute</t>
  </si>
  <si>
    <t>mostly CRS2P; have used MC250</t>
  </si>
  <si>
    <t>1/4"-10:  1/2-1/4" for winter bite</t>
  </si>
  <si>
    <t>22' wide</t>
  </si>
  <si>
    <t>Been asked, but we are shorthanded</t>
  </si>
  <si>
    <t>CSS-1H Delute</t>
  </si>
  <si>
    <t>1/4"-10" - Fog issues</t>
  </si>
  <si>
    <t>John Niiyami</t>
  </si>
  <si>
    <t>hopefully attending &amp; presenting</t>
  </si>
  <si>
    <t>Bill Whitson, Don Pfster, +1</t>
  </si>
  <si>
    <t>pavement milling, tarpot patching</t>
  </si>
  <si>
    <t>Rock is double washed - Knife River</t>
  </si>
  <si>
    <t>Blue Line Supplies</t>
  </si>
  <si>
    <t>Polk</t>
  </si>
  <si>
    <t>Jan Sherman</t>
  </si>
  <si>
    <t>Hyne Zimmment; 541-757-4280</t>
  </si>
  <si>
    <t>??</t>
  </si>
  <si>
    <t>Douglas</t>
  </si>
  <si>
    <t>Tim Rummel</t>
  </si>
  <si>
    <t>don't need it</t>
  </si>
  <si>
    <t>Blade patching</t>
  </si>
  <si>
    <t>Carl Rhoten / Mike Kuntz</t>
  </si>
  <si>
    <t>3/8" - #4 = 95%</t>
  </si>
  <si>
    <t>Blade patching, Milling/inlay, rock &amp; oil patch +</t>
  </si>
  <si>
    <t>LMCQS</t>
  </si>
  <si>
    <t>3/8" - #4</t>
  </si>
  <si>
    <t>Bill W, Dave C, Dave V, Pete, Pat, Jim T, Spencer</t>
  </si>
  <si>
    <t>4b. Rock 3/8"-4 %</t>
  </si>
  <si>
    <t>4a. Rock 1/4"-10    Miles</t>
  </si>
  <si>
    <t>4b. Rock 3/8"-10    Miles</t>
  </si>
  <si>
    <t>4b. Rock 3/8"-4     Miles</t>
  </si>
  <si>
    <t>4c. Rock 1/2"-1/4"    Miles</t>
  </si>
  <si>
    <t>Jaimé Viramontes</t>
  </si>
  <si>
    <t>Kirkland, WA</t>
  </si>
  <si>
    <t>Andrea Dasovich, P.E.</t>
  </si>
  <si>
    <t>No Chip Seals due to public pressure</t>
  </si>
  <si>
    <t>no reply</t>
  </si>
  <si>
    <t>Portland</t>
  </si>
  <si>
    <t>Ken</t>
  </si>
  <si>
    <t>Assist. Roadmaster;  Jeff Smith; Distributor Oper  - Nolan Perkins/ Noodle</t>
  </si>
  <si>
    <t>Rod Alyea</t>
  </si>
  <si>
    <t>digouts / leveling</t>
  </si>
  <si>
    <t>Ed Landers</t>
  </si>
  <si>
    <t>Deschutes</t>
  </si>
  <si>
    <t>Roger Olsen</t>
  </si>
  <si>
    <t>3/8" to #8 - 2% pasing #40</t>
  </si>
  <si>
    <t>AC15-5r</t>
  </si>
  <si>
    <t>edge patching</t>
  </si>
  <si>
    <t>Bend &amp; Redmond</t>
  </si>
  <si>
    <t>Phil Lane, Salem</t>
  </si>
  <si>
    <t>Yamhill</t>
  </si>
  <si>
    <t>Jefferson</t>
  </si>
  <si>
    <t>Steve Davis</t>
  </si>
  <si>
    <t>Kent Mahler</t>
  </si>
  <si>
    <t>3/8" - #6; 3/4" - 1/2</t>
  </si>
  <si>
    <t>little need now</t>
  </si>
  <si>
    <t>AC pre-leveling, milling</t>
  </si>
  <si>
    <t xml:space="preserve"> HFE 90 lower layers</t>
  </si>
  <si>
    <t>HFRS-P1 delute</t>
  </si>
  <si>
    <t>.1 to .15 gal/ sq yd</t>
  </si>
  <si>
    <t xml:space="preserve">HFRS-P1 </t>
  </si>
  <si>
    <t>3/8" - #6; 1/4-#10</t>
  </si>
  <si>
    <t>HFRS-2 -see longer note</t>
  </si>
  <si>
    <t>see longer note</t>
  </si>
  <si>
    <t>ODOT</t>
  </si>
  <si>
    <t>Greg C</t>
  </si>
  <si>
    <t>Rick Kjemperud; Grant Graves</t>
  </si>
  <si>
    <t>Liane Welsh</t>
  </si>
  <si>
    <t>John, Roy Panschow</t>
  </si>
  <si>
    <t>"larger - hurts my dog's feet"</t>
  </si>
  <si>
    <t>digouts</t>
  </si>
  <si>
    <t>CSS-2H Dilute</t>
  </si>
  <si>
    <t>3/8" - 1/4"</t>
  </si>
  <si>
    <t>Dewey Kennedy</t>
  </si>
  <si>
    <t>Jay Davenport</t>
  </si>
  <si>
    <t>Stuart Cobine</t>
  </si>
  <si>
    <t>ODOT- b</t>
  </si>
  <si>
    <t>ODOT- The Dalles</t>
  </si>
  <si>
    <t>ODOT- d</t>
  </si>
  <si>
    <t>ODOT- f - Bend</t>
  </si>
  <si>
    <t>ODOT - Corvallis</t>
  </si>
  <si>
    <t>ODOT- Salem</t>
  </si>
  <si>
    <t>ODOT- Salem b</t>
  </si>
  <si>
    <t>40% '3/8" = hot; '40% Double 1/2'- 1/4'-10; 1/4"-10 = 20% -single shot 1/4"</t>
  </si>
  <si>
    <t>HFE-100-S single;  HFMS-2S prime &amp; 901-S intermediate</t>
  </si>
  <si>
    <t>Donny Pfeifer, The Dalles, Larry Ilg, PE</t>
  </si>
  <si>
    <t>co</t>
  </si>
  <si>
    <t>Amber Messenger</t>
  </si>
  <si>
    <t xml:space="preserve"> Brian Oberding</t>
  </si>
  <si>
    <t>Thomas.Beggs</t>
  </si>
  <si>
    <t>7/16" - 10: E-11</t>
  </si>
  <si>
    <t>HFE-91S = 100%</t>
  </si>
  <si>
    <t>HFE-91S</t>
  </si>
  <si>
    <t>1/2" &amp; 7/16"-10</t>
  </si>
  <si>
    <t>3-lifts: 3/4":1/2: 7/16"</t>
  </si>
  <si>
    <t>91-S dilute</t>
  </si>
  <si>
    <t>fog</t>
  </si>
  <si>
    <t>lower lifts</t>
  </si>
  <si>
    <t>HFRS-P2</t>
  </si>
  <si>
    <t>HFRS-2</t>
  </si>
  <si>
    <t>CRS-2</t>
  </si>
  <si>
    <t>RSLTP</t>
  </si>
  <si>
    <t>PMCRS-2H</t>
  </si>
  <si>
    <t>HFE-90</t>
  </si>
  <si>
    <t>HFE-90-1S dilute</t>
  </si>
  <si>
    <t>MC250</t>
  </si>
  <si>
    <t>past</t>
  </si>
  <si>
    <t>Miles</t>
  </si>
  <si>
    <t>Chip Miles</t>
  </si>
  <si>
    <t>Fog</t>
  </si>
  <si>
    <t>no</t>
  </si>
  <si>
    <t>HFE-91-S</t>
  </si>
  <si>
    <t>CSS-1H dilute</t>
  </si>
  <si>
    <t>AC15P (Hot)</t>
  </si>
  <si>
    <t>20% on coast</t>
  </si>
  <si>
    <t>100% (coast ?)</t>
  </si>
  <si>
    <t>Styraflex</t>
  </si>
  <si>
    <t>HFE-100-S</t>
  </si>
  <si>
    <t>901- S dilute</t>
  </si>
  <si>
    <t>Single shot</t>
  </si>
  <si>
    <t>HFMS-2S</t>
  </si>
  <si>
    <t>Prime shot</t>
  </si>
  <si>
    <t>Triple - between shot / fog</t>
  </si>
  <si>
    <t>CRS-2H dilute</t>
  </si>
  <si>
    <t>no (Hot)</t>
  </si>
  <si>
    <t>PG64-22 (Hot/warm Asphalt Rubber)</t>
  </si>
  <si>
    <r>
      <t>Chip Seal Oils</t>
    </r>
    <r>
      <rPr>
        <sz val="26"/>
        <rFont val="Arial"/>
        <family val="0"/>
      </rPr>
      <t xml:space="preserve"> </t>
    </r>
    <r>
      <rPr>
        <sz val="14"/>
        <rFont val="Arial"/>
        <family val="2"/>
      </rPr>
      <t>- from 2011 OACES survey</t>
    </r>
  </si>
  <si>
    <t>HFRS-P1  dilute</t>
  </si>
  <si>
    <t>CRS-2P  dilute</t>
  </si>
  <si>
    <t>AC15-5TR  (Hot)</t>
  </si>
  <si>
    <t>Centerline (CL) Miles</t>
  </si>
  <si>
    <t>Overlays CL Miles</t>
  </si>
  <si>
    <t>Chip Seal CL Miles</t>
  </si>
  <si>
    <t xml:space="preserve">% system treated </t>
  </si>
  <si>
    <t>Rock</t>
  </si>
  <si>
    <t>Rock used</t>
  </si>
  <si>
    <t>Other Prep Treatments ?</t>
  </si>
  <si>
    <t>AC Blade patching</t>
  </si>
  <si>
    <t>AC Blade patching / Leveling</t>
  </si>
  <si>
    <t>5/8" - 1/4"</t>
  </si>
  <si>
    <t>lower</t>
  </si>
  <si>
    <t>Crack  Seal ?</t>
  </si>
  <si>
    <t>40%  Hot</t>
  </si>
  <si>
    <t>3/8"- #6</t>
  </si>
  <si>
    <t>3/8"-#10</t>
  </si>
  <si>
    <t>1/4"-#10</t>
  </si>
  <si>
    <t>3/8"- #4</t>
  </si>
  <si>
    <t>3/8" - #6;  1/4 - #10</t>
  </si>
  <si>
    <t>1/2"-1/4"; 1/4" - #10</t>
  </si>
  <si>
    <t>5/8"-1/4" or 3/4"-1/2";  3/8"- #10;   3/8" -#10</t>
  </si>
  <si>
    <t>1/4"- #10;  1/2-1/4" for winter bite</t>
  </si>
  <si>
    <t>3/8"- #8  (2% pass #40)</t>
  </si>
  <si>
    <t>1/2"-1/4";  1/4" - #10</t>
  </si>
  <si>
    <t xml:space="preserve"> 1/2" -1 /4" </t>
  </si>
  <si>
    <t>3/4"- 1/2"</t>
  </si>
  <si>
    <t>7/16" - #10</t>
  </si>
  <si>
    <t>1/2";  7/16" -#10</t>
  </si>
  <si>
    <t>1% Bike areas</t>
  </si>
  <si>
    <t>3/4"-1/2";  1/2" - 3/8";  3/8" - #10</t>
  </si>
  <si>
    <t>3/4"-1/2"; 1/2" - 1/4";  3/8" - #10; 1/4" - #10</t>
  </si>
  <si>
    <t>Const Rock;  AC Grindings;  Double Chip</t>
  </si>
  <si>
    <t>Convert Gravel CL miles</t>
  </si>
  <si>
    <t>3-lifts: 3/4"; 1/2";  7/16"</t>
  </si>
  <si>
    <t>Chip = 5/8";  3/8"</t>
  </si>
  <si>
    <t>(rock is doubled washed)</t>
  </si>
  <si>
    <t xml:space="preserve">1/2"-1/4";  3/8"-10;  </t>
  </si>
  <si>
    <t xml:space="preserve"> pavement grindings w/ double oil: 1/2"-1/4";  3/8"-10;</t>
  </si>
  <si>
    <t xml:space="preserve">1/2"-1/4";  1/2"-1/4";  3/8"-10;  </t>
  </si>
  <si>
    <t>rock mix varies</t>
  </si>
  <si>
    <t>larger rock hurts my dog's feet</t>
  </si>
  <si>
    <t>7/16" (ODOT coated rock)</t>
  </si>
  <si>
    <t>1/2"-;  1/2"-1/4";  3/8"-10;   1/4"</t>
  </si>
  <si>
    <t>3/8' - #4</t>
  </si>
  <si>
    <r>
      <t>Chip Seal Rock</t>
    </r>
    <r>
      <rPr>
        <sz val="26"/>
        <rFont val="Arial"/>
        <family val="0"/>
      </rPr>
      <t xml:space="preserve"> and Additional Information </t>
    </r>
    <r>
      <rPr>
        <sz val="14"/>
        <rFont val="Arial"/>
        <family val="2"/>
      </rPr>
      <t>- from 2011 OACES survey</t>
    </r>
  </si>
  <si>
    <t>dig outs / leveling</t>
  </si>
  <si>
    <t>dig outs</t>
  </si>
  <si>
    <t>pre-level, repairs</t>
  </si>
  <si>
    <t xml:space="preserve">   Convert Gravel</t>
  </si>
  <si>
    <t xml:space="preserve">   Double Chip +</t>
  </si>
  <si>
    <t>Chip 4 Others' CL miles</t>
  </si>
  <si>
    <t>Rank</t>
  </si>
  <si>
    <t>ODOT- R2 D4</t>
  </si>
  <si>
    <t>Mike Shaffer</t>
  </si>
  <si>
    <t>John Coplantz, Pavement Management Engineer, Shane</t>
  </si>
  <si>
    <t>Double / Triple shot %</t>
  </si>
  <si>
    <t>Fix base failures;  ravel edges</t>
  </si>
  <si>
    <t xml:space="preserve"> Preparation Treatments</t>
  </si>
  <si>
    <r>
      <t xml:space="preserve">HFE-150 or HFRS-2 </t>
    </r>
    <r>
      <rPr>
        <sz val="10"/>
        <rFont val="Arial"/>
        <family val="2"/>
      </rPr>
      <t xml:space="preserve"> no users</t>
    </r>
  </si>
  <si>
    <t>Cities</t>
  </si>
  <si>
    <t>Other State</t>
  </si>
  <si>
    <t>Federal</t>
  </si>
  <si>
    <t>Gravel</t>
  </si>
  <si>
    <t>Paved</t>
  </si>
  <si>
    <t>Oregon Mileage</t>
  </si>
  <si>
    <t>Local Access</t>
  </si>
  <si>
    <t>County Mileage</t>
  </si>
  <si>
    <t>Totals</t>
  </si>
  <si>
    <t>ci</t>
  </si>
  <si>
    <t>DOT</t>
  </si>
  <si>
    <t>BLM</t>
  </si>
  <si>
    <t>WA co</t>
  </si>
  <si>
    <t>WA ci</t>
  </si>
  <si>
    <t>"1" = yes;  "0" = no</t>
  </si>
  <si>
    <t>Weighted</t>
  </si>
  <si>
    <t>Daily Oil Tonage</t>
  </si>
  <si>
    <t>Daily Rock Tonage</t>
  </si>
  <si>
    <t>Day</t>
  </si>
  <si>
    <t>Shot</t>
  </si>
  <si>
    <t>AC</t>
  </si>
  <si>
    <t xml:space="preserve"> 3/8" washed aggregate</t>
  </si>
  <si>
    <t>PCI</t>
  </si>
  <si>
    <t>Oil</t>
  </si>
  <si>
    <t>Order</t>
  </si>
  <si>
    <t>Zone</t>
  </si>
  <si>
    <t xml:space="preserve">Road </t>
  </si>
  <si>
    <t>Section</t>
  </si>
  <si>
    <t>Width</t>
  </si>
  <si>
    <t>HFE-90-1S</t>
  </si>
  <si>
    <t>Veg</t>
  </si>
  <si>
    <t>Sweep</t>
  </si>
  <si>
    <t>Comments</t>
  </si>
  <si>
    <t>Used</t>
  </si>
  <si>
    <t>Difference</t>
  </si>
  <si>
    <t>areas</t>
  </si>
  <si>
    <t>day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</si>
  <si>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</si>
  <si>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</si>
  <si>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</si>
  <si>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</si>
  <si>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</si>
  <si>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</si>
  <si>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</si>
  <si>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</si>
  <si>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</si>
  <si>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</si>
  <si>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</si>
  <si>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</si>
  <si>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</t>
  </si>
  <si>
    <t>q</t>
  </si>
  <si>
    <t>r</t>
  </si>
  <si>
    <t>t</t>
  </si>
  <si>
    <t>u</t>
  </si>
  <si>
    <t>v</t>
  </si>
  <si>
    <t>aa</t>
  </si>
  <si>
    <t>"j" * 30 / 2000</t>
  </si>
  <si>
    <t>"j" * 0.13 / 240</t>
  </si>
  <si>
    <t>"n -y"</t>
  </si>
  <si>
    <t>"j x l"</t>
  </si>
  <si>
    <t>020</t>
  </si>
  <si>
    <t>C</t>
  </si>
  <si>
    <t>030</t>
  </si>
  <si>
    <t>040</t>
  </si>
  <si>
    <t>010</t>
  </si>
  <si>
    <t>R</t>
  </si>
  <si>
    <t>050</t>
  </si>
  <si>
    <t>Average</t>
  </si>
  <si>
    <t>PCI areas</t>
  </si>
  <si>
    <t>Loads</t>
  </si>
  <si>
    <t>Quantity Totals =</t>
  </si>
  <si>
    <t xml:space="preserve"> = totals</t>
  </si>
  <si>
    <t>Oil Tonage</t>
  </si>
  <si>
    <t>Rock Tonage</t>
  </si>
  <si>
    <t xml:space="preserve">Chip seal materials total cost per = </t>
  </si>
  <si>
    <t xml:space="preserve"> = Sub-totals $</t>
  </si>
  <si>
    <t xml:space="preserve"> = Transport $</t>
  </si>
  <si>
    <t xml:space="preserve"> *Garbage day on Thursday</t>
  </si>
  <si>
    <t xml:space="preserve"> = Distributor $</t>
  </si>
  <si>
    <t>of totals</t>
  </si>
  <si>
    <t>$ Totals =</t>
  </si>
  <si>
    <t xml:space="preserve"> = Total $</t>
  </si>
  <si>
    <t>Distributor Services</t>
  </si>
  <si>
    <t>Transport Oils</t>
  </si>
  <si>
    <t>Calc Budget Quantities:</t>
  </si>
  <si>
    <t xml:space="preserve"> *Add 3rd street and Ivy to Butteville section  C. Seal</t>
  </si>
  <si>
    <r>
      <t>Set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Budget Quantities:</t>
    </r>
  </si>
  <si>
    <r>
      <t>Set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Budget Unit Cost:</t>
    </r>
  </si>
  <si>
    <t>Emulsified</t>
  </si>
  <si>
    <t xml:space="preserve"> 3/8"</t>
  </si>
  <si>
    <t>Priority Order</t>
  </si>
  <si>
    <t>Washed</t>
  </si>
  <si>
    <t>(cut-back)</t>
  </si>
  <si>
    <t>Sort</t>
  </si>
  <si>
    <t>Vic /</t>
  </si>
  <si>
    <t>Maint</t>
  </si>
  <si>
    <t>Road</t>
  </si>
  <si>
    <t>Begin</t>
  </si>
  <si>
    <t>End</t>
  </si>
  <si>
    <t>Func</t>
  </si>
  <si>
    <t>Length</t>
  </si>
  <si>
    <t>Aggregate</t>
  </si>
  <si>
    <t>Material</t>
  </si>
  <si>
    <t>Running</t>
  </si>
  <si>
    <t>Hot</t>
  </si>
  <si>
    <t>C.</t>
  </si>
  <si>
    <t># 1</t>
  </si>
  <si>
    <t># 2</t>
  </si>
  <si>
    <t>City</t>
  </si>
  <si>
    <t>#</t>
  </si>
  <si>
    <t>Name</t>
  </si>
  <si>
    <t>Location</t>
  </si>
  <si>
    <t>Class</t>
  </si>
  <si>
    <t>feet</t>
  </si>
  <si>
    <t>Sq Yds</t>
  </si>
  <si>
    <t>tons</t>
  </si>
  <si>
    <t>$ cost</t>
  </si>
  <si>
    <t>Patch</t>
  </si>
  <si>
    <t>seal</t>
  </si>
  <si>
    <t>m</t>
  </si>
  <si>
    <t>n</t>
  </si>
  <si>
    <t>o</t>
  </si>
  <si>
    <t>s</t>
  </si>
  <si>
    <t>x  (tons)</t>
  </si>
  <si>
    <t>z</t>
  </si>
  <si>
    <t>ab</t>
  </si>
  <si>
    <t>ac</t>
  </si>
  <si>
    <t>ad   (tons)</t>
  </si>
  <si>
    <t>ae   (tons)</t>
  </si>
  <si>
    <t>"n * o"</t>
  </si>
  <si>
    <t>"n" / 5280</t>
  </si>
  <si>
    <t>"p" * 0.45 / 240</t>
  </si>
  <si>
    <t>" r, s, t" * unit $</t>
  </si>
  <si>
    <t>"u" run sum</t>
  </si>
  <si>
    <t>S. Salem</t>
  </si>
  <si>
    <t>2-S</t>
  </si>
  <si>
    <t xml:space="preserve">Liberty Rd </t>
  </si>
  <si>
    <t>Ankney Hill Rd SE</t>
  </si>
  <si>
    <t>Bunker Hill Rd SE</t>
  </si>
  <si>
    <t>1-W</t>
  </si>
  <si>
    <t>Hylo Rd SE</t>
  </si>
  <si>
    <t>Stayton</t>
  </si>
  <si>
    <t>West Stayton Rd SE</t>
  </si>
  <si>
    <t>Stayton Rd SE</t>
  </si>
  <si>
    <t>Tegan LN</t>
  </si>
  <si>
    <t>Aums</t>
  </si>
  <si>
    <t>Darley Rd</t>
  </si>
  <si>
    <t>Shaff Rd</t>
  </si>
  <si>
    <t>2-N</t>
  </si>
  <si>
    <t xml:space="preserve">Porter Rd </t>
  </si>
  <si>
    <t>Main St (Aumsville)</t>
  </si>
  <si>
    <t>Marion Rd SE</t>
  </si>
  <si>
    <t>Pletzer Rd</t>
  </si>
  <si>
    <t>Stayton Rd</t>
  </si>
  <si>
    <t>A</t>
  </si>
  <si>
    <t>Mac Robbins Ln SE</t>
  </si>
  <si>
    <t>70th Ave SE/Shaff RD</t>
  </si>
  <si>
    <t>Turner</t>
  </si>
  <si>
    <t>Cook Rd</t>
  </si>
  <si>
    <t>Gates</t>
  </si>
  <si>
    <t>2-E</t>
  </si>
  <si>
    <t>Central St SE</t>
  </si>
  <si>
    <t>St Hwy 22</t>
  </si>
  <si>
    <t>132 ft W of Hwy 22 Access Rd</t>
  </si>
  <si>
    <t>Horab St</t>
  </si>
  <si>
    <t>2-W</t>
  </si>
  <si>
    <t>Cloverdale Rd SE</t>
  </si>
  <si>
    <t>Enchanted Way</t>
  </si>
  <si>
    <t>Parrish Gap RD</t>
  </si>
  <si>
    <t>Darley Rd SE</t>
  </si>
  <si>
    <t>West Stayton Rd</t>
  </si>
  <si>
    <t>Porter Rd SE</t>
  </si>
  <si>
    <t>#9493 Modern Bldg System</t>
  </si>
  <si>
    <t>Mehama</t>
  </si>
  <si>
    <t>Jennie Rd SE</t>
  </si>
  <si>
    <t>ST Hwy 226</t>
  </si>
  <si>
    <t>090</t>
  </si>
  <si>
    <t>Ferry Rd SE</t>
  </si>
  <si>
    <t>St Hwy 226</t>
  </si>
  <si>
    <t>Gates Hill Rd</t>
  </si>
  <si>
    <t>Maple St</t>
  </si>
  <si>
    <t>968A</t>
  </si>
  <si>
    <t>Horeb St SE</t>
  </si>
  <si>
    <t>Sorbin Ave</t>
  </si>
  <si>
    <t>Sorbin Ave SE</t>
  </si>
  <si>
    <t>Oak St</t>
  </si>
  <si>
    <t>Riverview St</t>
  </si>
  <si>
    <t>Riverview St SE</t>
  </si>
  <si>
    <t>Bridge PCC</t>
  </si>
  <si>
    <t>Mill City</t>
  </si>
  <si>
    <t>965A</t>
  </si>
  <si>
    <t>NW Alder St</t>
  </si>
  <si>
    <t>NW River Rd (Mill City)</t>
  </si>
  <si>
    <t>9th Ave</t>
  </si>
  <si>
    <t>Pioneer Rd SE</t>
  </si>
  <si>
    <t>North Fork Rd</t>
  </si>
  <si>
    <t>EOP 550 Ft S of Taylor Pk Rd</t>
  </si>
  <si>
    <t>Woodpecker Dr SE</t>
  </si>
  <si>
    <t>Hilton Rd</t>
  </si>
  <si>
    <t xml:space="preserve"> </t>
  </si>
  <si>
    <t>Maron Rd SE</t>
  </si>
  <si>
    <t>942A</t>
  </si>
  <si>
    <t>Hilton Ln Se</t>
  </si>
  <si>
    <t>Santiam Lp SE</t>
  </si>
  <si>
    <t>Stayton Rd/Brick</t>
  </si>
  <si>
    <t>Aumsville hwy</t>
  </si>
  <si>
    <t xml:space="preserve">50 W Olney St </t>
  </si>
  <si>
    <t>Lincoln St</t>
  </si>
  <si>
    <t>N 11th St</t>
  </si>
  <si>
    <t>Cleavland St</t>
  </si>
  <si>
    <t>Mill Creek Rd</t>
  </si>
  <si>
    <t>Cost Input Table</t>
  </si>
  <si>
    <t>Sum of Transport Oil &amp; Distributor Services:</t>
  </si>
  <si>
    <t xml:space="preserve"> = Check</t>
  </si>
  <si>
    <t>Tons =</t>
  </si>
  <si>
    <t xml:space="preserve"> Hours =</t>
  </si>
  <si>
    <t xml:space="preserve"> = Calc Budget =</t>
  </si>
  <si>
    <t xml:space="preserve"> = Calc Budget $</t>
  </si>
  <si>
    <t>Text Only in this Area !</t>
  </si>
  <si>
    <t>Hours =</t>
  </si>
  <si>
    <t>$ / Ton =</t>
  </si>
  <si>
    <t>$ / hour =</t>
  </si>
  <si>
    <t xml:space="preserve"> = Check with Table =</t>
  </si>
  <si>
    <t xml:space="preserve"> = Calc Budget $ =</t>
  </si>
  <si>
    <t xml:space="preserve"> = Variance =</t>
  </si>
  <si>
    <t xml:space="preserve"> = Variance</t>
  </si>
  <si>
    <r>
      <t xml:space="preserve">2012 Operations Pavement Preservation: </t>
    </r>
    <r>
      <rPr>
        <b/>
        <sz val="12"/>
        <color indexed="57"/>
        <rFont val="Arial"/>
        <family val="2"/>
      </rPr>
      <t xml:space="preserve"> Surface Treatments &amp; Chipseal Plan</t>
    </r>
  </si>
  <si>
    <r>
      <t>HFE-90-1S Emulsified Oil:</t>
    </r>
    <r>
      <rPr>
        <sz val="10"/>
        <color indexed="61"/>
        <rFont val="Arial"/>
        <family val="2"/>
      </rPr>
      <t xml:space="preserve"> </t>
    </r>
    <r>
      <rPr>
        <b/>
        <sz val="10"/>
        <color indexed="61"/>
        <rFont val="Arial"/>
        <family val="2"/>
      </rPr>
      <t>$ / ton</t>
    </r>
    <r>
      <rPr>
        <sz val="10"/>
        <color indexed="61"/>
        <rFont val="Arial"/>
        <family val="2"/>
      </rPr>
      <t xml:space="preserve"> = </t>
    </r>
  </si>
  <si>
    <r>
      <t>Transport Oils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</si>
  <si>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r>
      <t>"3/8" washed Aggregate:</t>
    </r>
    <r>
      <rPr>
        <sz val="10"/>
        <color indexed="61"/>
        <rFont val="Arial"/>
        <family val="2"/>
      </rPr>
      <t xml:space="preserve"> </t>
    </r>
    <r>
      <rPr>
        <b/>
        <sz val="10"/>
        <color indexed="61"/>
        <rFont val="Arial"/>
        <family val="2"/>
      </rPr>
      <t xml:space="preserve">$ / ton </t>
    </r>
    <r>
      <rPr>
        <sz val="10"/>
        <color indexed="61"/>
        <rFont val="Arial"/>
        <family val="2"/>
      </rPr>
      <t xml:space="preserve"> = </t>
    </r>
  </si>
  <si>
    <r>
      <t xml:space="preserve">Distributor Services: </t>
    </r>
    <r>
      <rPr>
        <b/>
        <sz val="10"/>
        <rFont val="Arial"/>
        <family val="2"/>
      </rPr>
      <t xml:space="preserve"> </t>
    </r>
    <r>
      <rPr>
        <b/>
        <sz val="10"/>
        <color indexed="16"/>
        <rFont val="Arial"/>
        <family val="2"/>
      </rPr>
      <t>Total Hours =</t>
    </r>
  </si>
  <si>
    <r>
      <t xml:space="preserve">Fog - Cut-back Oil: </t>
    </r>
    <r>
      <rPr>
        <b/>
        <sz val="10"/>
        <color indexed="61"/>
        <rFont val="Arial"/>
        <family val="2"/>
      </rPr>
      <t>$ / ton</t>
    </r>
    <r>
      <rPr>
        <sz val="10"/>
        <color indexed="61"/>
        <rFont val="Arial"/>
        <family val="2"/>
      </rPr>
      <t xml:space="preserve">  = </t>
    </r>
  </si>
  <si>
    <r>
      <t>Transport Oils</t>
    </r>
    <r>
      <rPr>
        <sz val="10"/>
        <color indexed="61"/>
        <rFont val="Arial"/>
        <family val="2"/>
      </rPr>
      <t>:</t>
    </r>
    <r>
      <rPr>
        <b/>
        <sz val="10"/>
        <color indexed="61"/>
        <rFont val="Arial"/>
        <family val="2"/>
      </rPr>
      <t xml:space="preserve"> $ / ton  = </t>
    </r>
  </si>
  <si>
    <r>
      <t>Distributor Services (DS)</t>
    </r>
    <r>
      <rPr>
        <sz val="10"/>
        <rFont val="Arial"/>
        <family val="0"/>
      </rPr>
      <t>:</t>
    </r>
    <r>
      <rPr>
        <b/>
        <sz val="10"/>
        <color indexed="61"/>
        <rFont val="Arial"/>
        <family val="2"/>
      </rPr>
      <t xml:space="preserve"> $ / hour  = </t>
    </r>
  </si>
  <si>
    <r>
      <t>DS:</t>
    </r>
    <r>
      <rPr>
        <b/>
        <sz val="10"/>
        <color indexed="61"/>
        <rFont val="Arial"/>
        <family val="2"/>
      </rPr>
      <t xml:space="preserve"> # of Chip Work Days  = </t>
    </r>
  </si>
  <si>
    <r>
      <t>DS:</t>
    </r>
    <r>
      <rPr>
        <b/>
        <sz val="10"/>
        <color indexed="61"/>
        <rFont val="Arial"/>
        <family val="2"/>
      </rPr>
      <t xml:space="preserve"> # of Fog Work Days  = </t>
    </r>
  </si>
  <si>
    <r>
      <t>Budgeting Increase Factor:</t>
    </r>
    <r>
      <rPr>
        <b/>
        <sz val="10"/>
        <color indexed="61"/>
        <rFont val="Arial"/>
        <family val="2"/>
      </rPr>
      <t xml:space="preserve"> + %</t>
    </r>
    <r>
      <rPr>
        <sz val="10"/>
        <color indexed="61"/>
        <rFont val="Arial"/>
        <family val="2"/>
      </rPr>
      <t xml:space="preserve">  = </t>
    </r>
  </si>
  <si>
    <r>
      <t>Set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Budget $:</t>
    </r>
  </si>
  <si>
    <r>
      <t>Variance: Set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(Budget $ - Above Calculations) :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</si>
</sst>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[$-409]h:mm\ AM/PM;@"/>
    <numFmt numFmtId="171" formatCode="0.0"/>
    <numFmt numFmtId="172" formatCode="&quot;$&quot;#,##0"/>
    <numFmt numFmtId="173" formatCode="&quot;$&quot;#,##0.00"/>
    <numFmt numFmtId="174" formatCode="[$-1010409]#,##0.00;\(#,##0.00\)"/>
    <numFmt numFmtId="175" formatCode="[$-1010409]#,##0.#0%"/>
    <numFmt numFmtId="176" formatCode="[$-1010409]#,##0.000;\(#,##0.000\)"/>
    <numFmt numFmtId="177" formatCode="[$-1010409]#,##0.0;\(#,##0.0\)"/>
    <numFmt numFmtId="178" formatCode="[$-1010409]#,##0;\(#,##0\)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00"/>
    <numFmt numFmtId="183" formatCode="#,##0.0000"/>
    <numFmt numFmtId="184" formatCode="&quot;$&quot;#,##0.0"/>
    <numFmt numFmtId="185" formatCode="_(&quot;$&quot;* #,##0.000_);_(&quot;$&quot;* \(#,##0.000\);_(&quot;$&quot;* &quot;-&quot;???_);_(@_)"/>
    <numFmt numFmtId="186" formatCode="0.000"/>
    <numFmt numFmtId="187" formatCode="0.0%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_(&quot;$&quot;* #,##0.000_);_(&quot;$&quot;* \(#,##0.000\);_(&quot;$&quot;* &quot;-&quot;??_);_(@_)"/>
  </numFmts>
  <fonts count="9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color indexed="12"/>
      <name val="Arial"/>
      <family val="2"/>
    </font>
    <font>
      <sz val="9"/>
      <color indexed="12"/>
      <name val="Arial"/>
      <family val="0"/>
    </font>
    <font>
      <sz val="10"/>
      <color indexed="16"/>
      <name val="Arial"/>
      <family val="0"/>
    </font>
    <font>
      <b/>
      <sz val="10"/>
      <color indexed="16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26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b/>
      <sz val="26"/>
      <name val="Arial"/>
      <family val="2"/>
    </font>
    <font>
      <b/>
      <sz val="20"/>
      <name val="Arial"/>
      <family val="0"/>
    </font>
    <font>
      <b/>
      <sz val="14"/>
      <name val="Arial"/>
      <family val="0"/>
    </font>
    <font>
      <b/>
      <sz val="16"/>
      <color indexed="16"/>
      <name val="Arial"/>
      <family val="2"/>
    </font>
    <font>
      <sz val="8"/>
      <color indexed="5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7"/>
      <name val="Arial"/>
      <family val="2"/>
    </font>
    <font>
      <sz val="10"/>
      <color indexed="8"/>
      <name val="Arial"/>
      <family val="2"/>
    </font>
    <font>
      <b/>
      <sz val="9"/>
      <color indexed="17"/>
      <name val="Arial"/>
      <family val="2"/>
    </font>
    <font>
      <sz val="16"/>
      <name val="Arial"/>
      <family val="0"/>
    </font>
    <font>
      <b/>
      <sz val="9"/>
      <color indexed="16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9"/>
      <color indexed="16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sz val="8"/>
      <color indexed="17"/>
      <name val="Arial"/>
      <family val="2"/>
    </font>
    <font>
      <sz val="8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59"/>
      <name val="Arial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b/>
      <sz val="10"/>
      <color indexed="4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0"/>
      <color indexed="61"/>
      <name val="Arial"/>
      <family val="2"/>
    </font>
    <font>
      <b/>
      <sz val="11"/>
      <color indexed="18"/>
      <name val="Arial"/>
      <family val="2"/>
    </font>
    <font>
      <b/>
      <sz val="12"/>
      <color indexed="12"/>
      <name val="Arial"/>
      <family val="2"/>
    </font>
    <font>
      <u val="single"/>
      <sz val="9"/>
      <color indexed="16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b/>
      <sz val="10"/>
      <color indexed="59"/>
      <name val="Arial"/>
      <family val="2"/>
    </font>
    <font>
      <b/>
      <sz val="15"/>
      <color indexed="12"/>
      <name val="Arial"/>
      <family val="2"/>
    </font>
    <font>
      <b/>
      <sz val="16"/>
      <color indexed="12"/>
      <name val="Arial"/>
      <family val="2"/>
    </font>
    <font>
      <b/>
      <u val="single"/>
      <sz val="10"/>
      <color indexed="16"/>
      <name val="Arial"/>
      <family val="0"/>
    </font>
    <font>
      <sz val="16"/>
      <color indexed="16"/>
      <name val="Arial"/>
      <family val="2"/>
    </font>
    <font>
      <sz val="10"/>
      <color indexed="63"/>
      <name val="Arial"/>
      <family val="2"/>
    </font>
    <font>
      <b/>
      <sz val="8"/>
      <color indexed="16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2"/>
    </font>
    <font>
      <b/>
      <u val="single"/>
      <sz val="10"/>
      <color indexed="63"/>
      <name val="Arial"/>
      <family val="2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sz val="9"/>
      <color indexed="59"/>
      <name val="Arial"/>
      <family val="2"/>
    </font>
    <font>
      <sz val="9"/>
      <color indexed="17"/>
      <name val="Arial"/>
      <family val="2"/>
    </font>
    <font>
      <u val="single"/>
      <sz val="8"/>
      <color indexed="17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16"/>
      <name val="Arial"/>
      <family val="2"/>
    </font>
    <font>
      <b/>
      <sz val="8"/>
      <color indexed="12"/>
      <name val="Arial"/>
      <family val="2"/>
    </font>
    <font>
      <sz val="10"/>
      <color indexed="1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>
        <color indexed="55"/>
      </bottom>
    </border>
    <border>
      <left style="double">
        <color indexed="10"/>
      </left>
      <right>
        <color indexed="63"/>
      </right>
      <top style="thin">
        <color indexed="55"/>
      </top>
      <bottom style="thin">
        <color indexed="55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/>
    </border>
    <border>
      <left>
        <color indexed="63"/>
      </left>
      <right style="double">
        <color indexed="10"/>
      </right>
      <top>
        <color indexed="63"/>
      </top>
      <bottom style="thin">
        <color indexed="55"/>
      </bottom>
    </border>
    <border>
      <left>
        <color indexed="63"/>
      </left>
      <right style="double">
        <color indexed="10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thick">
        <color indexed="5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19"/>
      </left>
      <right style="thick">
        <color indexed="19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ck">
        <color indexed="60"/>
      </left>
      <right style="thick">
        <color indexed="60"/>
      </right>
      <top style="thick">
        <color indexed="60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thick">
        <color indexed="60"/>
      </left>
      <right style="thick">
        <color indexed="60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16"/>
      </right>
      <top>
        <color indexed="63"/>
      </top>
      <bottom style="double">
        <color indexed="8"/>
      </bottom>
    </border>
    <border>
      <left style="thick">
        <color indexed="17"/>
      </left>
      <right style="thick">
        <color indexed="17"/>
      </right>
      <top>
        <color indexed="63"/>
      </top>
      <bottom style="double"/>
    </border>
    <border>
      <left style="thick">
        <color indexed="60"/>
      </left>
      <right style="thick">
        <color indexed="60"/>
      </right>
      <top>
        <color indexed="63"/>
      </top>
      <bottom style="thick">
        <color indexed="6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2"/>
      </left>
      <right style="thin">
        <color indexed="12"/>
      </right>
      <top style="medium">
        <color indexed="17"/>
      </top>
      <bottom style="medium">
        <color indexed="17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 style="double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thick">
        <color indexed="53"/>
      </left>
      <right style="thick">
        <color indexed="53"/>
      </right>
      <top>
        <color indexed="63"/>
      </top>
      <bottom style="double">
        <color indexed="60"/>
      </bottom>
    </border>
    <border>
      <left style="thick">
        <color indexed="19"/>
      </left>
      <right style="thick">
        <color indexed="19"/>
      </right>
      <top>
        <color indexed="63"/>
      </top>
      <bottom style="double">
        <color indexed="60"/>
      </bottom>
    </border>
    <border>
      <left>
        <color indexed="63"/>
      </left>
      <right style="double">
        <color indexed="60"/>
      </right>
      <top>
        <color indexed="63"/>
      </top>
      <bottom style="double">
        <color indexed="60"/>
      </bottom>
    </border>
    <border>
      <left style="thick">
        <color indexed="53"/>
      </left>
      <right style="thick">
        <color indexed="53"/>
      </right>
      <top>
        <color indexed="63"/>
      </top>
      <bottom style="thick">
        <color indexed="53"/>
      </bottom>
    </border>
    <border>
      <left style="thick">
        <color indexed="19"/>
      </left>
      <right style="thick">
        <color indexed="19"/>
      </right>
      <top>
        <color indexed="63"/>
      </top>
      <bottom style="thick">
        <color indexed="19"/>
      </bottom>
    </border>
    <border>
      <left style="thick">
        <color indexed="5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19"/>
      </left>
      <right style="thick">
        <color indexed="19"/>
      </right>
      <top style="thick">
        <color indexed="19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double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1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2"/>
      </right>
      <top style="medium">
        <color indexed="17"/>
      </top>
      <bottom style="medium">
        <color indexed="17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60"/>
      </left>
      <right>
        <color indexed="63"/>
      </right>
      <top style="double">
        <color indexed="60"/>
      </top>
      <bottom>
        <color indexed="63"/>
      </bottom>
    </border>
    <border>
      <left style="thin"/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 style="thin"/>
      <top style="double">
        <color indexed="60"/>
      </top>
      <bottom>
        <color indexed="63"/>
      </bottom>
    </border>
    <border>
      <left style="thick">
        <color indexed="53"/>
      </left>
      <right style="thick">
        <color indexed="53"/>
      </right>
      <top style="double">
        <color indexed="60"/>
      </top>
      <bottom>
        <color indexed="63"/>
      </bottom>
    </border>
    <border>
      <left style="thick">
        <color indexed="19"/>
      </left>
      <right style="thick">
        <color indexed="19"/>
      </right>
      <top style="double">
        <color indexed="6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0"/>
      </left>
      <right>
        <color indexed="63"/>
      </right>
      <top style="double">
        <color indexed="60"/>
      </top>
      <bottom style="double">
        <color indexed="60"/>
      </bottom>
    </border>
    <border>
      <left style="thin"/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 style="thin"/>
      <top style="double">
        <color indexed="60"/>
      </top>
      <bottom style="double">
        <color indexed="60"/>
      </bottom>
    </border>
    <border>
      <left style="thick">
        <color indexed="53"/>
      </left>
      <right style="thick">
        <color indexed="53"/>
      </right>
      <top style="double">
        <color indexed="60"/>
      </top>
      <bottom style="double">
        <color indexed="60"/>
      </bottom>
    </border>
    <border>
      <left style="thick">
        <color indexed="19"/>
      </left>
      <right style="thick">
        <color indexed="19"/>
      </right>
      <top style="double">
        <color indexed="60"/>
      </top>
      <bottom style="double">
        <color indexed="60"/>
      </bottom>
    </border>
    <border>
      <left>
        <color indexed="63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double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double">
        <color indexed="61"/>
      </right>
      <top>
        <color indexed="63"/>
      </top>
      <bottom style="double">
        <color indexed="61"/>
      </bottom>
    </border>
    <border>
      <left style="double">
        <color indexed="60"/>
      </left>
      <right>
        <color indexed="63"/>
      </right>
      <top>
        <color indexed="63"/>
      </top>
      <bottom style="double">
        <color indexed="60"/>
      </bottom>
    </border>
    <border>
      <left style="thin"/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 style="thin"/>
      <top>
        <color indexed="63"/>
      </top>
      <bottom style="double">
        <color indexed="6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9" fontId="4" fillId="24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3" fontId="1" fillId="5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9" fontId="5" fillId="4" borderId="10" xfId="0" applyNumberFormat="1" applyFont="1" applyFill="1" applyBorder="1" applyAlignment="1">
      <alignment horizontal="center" vertical="center" wrapText="1"/>
    </xf>
    <xf numFmtId="9" fontId="5" fillId="11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quotePrefix="1">
      <alignment horizontal="center" vertical="center" wrapText="1"/>
    </xf>
    <xf numFmtId="1" fontId="5" fillId="20" borderId="10" xfId="0" applyNumberFormat="1" applyFont="1" applyFill="1" applyBorder="1" applyAlignment="1">
      <alignment horizontal="center" vertical="center" wrapText="1"/>
    </xf>
    <xf numFmtId="1" fontId="5" fillId="25" borderId="10" xfId="0" applyNumberFormat="1" applyFont="1" applyFill="1" applyBorder="1" applyAlignment="1">
      <alignment horizontal="center" vertical="center" wrapText="1"/>
    </xf>
    <xf numFmtId="1" fontId="5" fillId="22" borderId="10" xfId="0" applyNumberFormat="1" applyFont="1" applyFill="1" applyBorder="1" applyAlignment="1">
      <alignment horizontal="center" vertical="center" wrapText="1"/>
    </xf>
    <xf numFmtId="1" fontId="5" fillId="7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2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20" borderId="11" xfId="0" applyFont="1" applyFill="1" applyBorder="1" applyAlignment="1" quotePrefix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9" fontId="4" fillId="24" borderId="11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3" fontId="1" fillId="5" borderId="11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9" fontId="5" fillId="4" borderId="11" xfId="0" applyNumberFormat="1" applyFont="1" applyFill="1" applyBorder="1" applyAlignment="1">
      <alignment horizontal="center" vertical="center" wrapText="1"/>
    </xf>
    <xf numFmtId="9" fontId="5" fillId="11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5" fillId="20" borderId="11" xfId="0" applyNumberFormat="1" applyFont="1" applyFill="1" applyBorder="1" applyAlignment="1">
      <alignment horizontal="center" vertical="center" wrapText="1"/>
    </xf>
    <xf numFmtId="1" fontId="5" fillId="25" borderId="11" xfId="0" applyNumberFormat="1" applyFont="1" applyFill="1" applyBorder="1" applyAlignment="1">
      <alignment horizontal="center" vertical="center" wrapText="1"/>
    </xf>
    <xf numFmtId="1" fontId="5" fillId="22" borderId="11" xfId="0" applyNumberFormat="1" applyFont="1" applyFill="1" applyBorder="1" applyAlignment="1">
      <alignment horizontal="center" vertical="center" wrapText="1"/>
    </xf>
    <xf numFmtId="1" fontId="5" fillId="7" borderId="11" xfId="0" applyNumberFormat="1" applyFont="1" applyFill="1" applyBorder="1" applyAlignment="1">
      <alignment horizontal="center" vertical="center" wrapText="1"/>
    </xf>
    <xf numFmtId="3" fontId="1" fillId="5" borderId="11" xfId="0" applyNumberFormat="1" applyFont="1" applyFill="1" applyBorder="1" applyAlignment="1" quotePrefix="1">
      <alignment horizontal="center" vertical="center" wrapText="1"/>
    </xf>
    <xf numFmtId="1" fontId="5" fillId="0" borderId="11" xfId="0" applyNumberFormat="1" applyFont="1" applyFill="1" applyBorder="1" applyAlignment="1" quotePrefix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5" fillId="4" borderId="11" xfId="0" applyFont="1" applyFill="1" applyBorder="1" applyAlignment="1" quotePrefix="1">
      <alignment horizontal="center" vertical="center" wrapText="1"/>
    </xf>
    <xf numFmtId="0" fontId="5" fillId="11" borderId="11" xfId="0" applyFont="1" applyFill="1" applyBorder="1" applyAlignment="1" quotePrefix="1">
      <alignment horizontal="center" vertical="center" wrapText="1"/>
    </xf>
    <xf numFmtId="1" fontId="5" fillId="20" borderId="11" xfId="0" applyNumberFormat="1" applyFont="1" applyFill="1" applyBorder="1" applyAlignment="1" quotePrefix="1">
      <alignment horizontal="center" vertical="center" wrapText="1"/>
    </xf>
    <xf numFmtId="1" fontId="5" fillId="25" borderId="11" xfId="0" applyNumberFormat="1" applyFont="1" applyFill="1" applyBorder="1" applyAlignment="1" quotePrefix="1">
      <alignment horizontal="center" vertical="center" wrapText="1"/>
    </xf>
    <xf numFmtId="1" fontId="5" fillId="22" borderId="11" xfId="0" applyNumberFormat="1" applyFont="1" applyFill="1" applyBorder="1" applyAlignment="1" quotePrefix="1">
      <alignment horizontal="center" vertical="center" wrapText="1"/>
    </xf>
    <xf numFmtId="1" fontId="5" fillId="7" borderId="11" xfId="0" applyNumberFormat="1" applyFont="1" applyFill="1" applyBorder="1" applyAlignment="1" quotePrefix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9" fontId="4" fillId="24" borderId="13" xfId="0" applyNumberFormat="1" applyFont="1" applyFill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9" fontId="5" fillId="0" borderId="13" xfId="0" applyNumberFormat="1" applyFont="1" applyFill="1" applyBorder="1" applyAlignment="1">
      <alignment horizontal="center" vertical="center" wrapText="1"/>
    </xf>
    <xf numFmtId="9" fontId="5" fillId="4" borderId="13" xfId="0" applyNumberFormat="1" applyFont="1" applyFill="1" applyBorder="1" applyAlignment="1">
      <alignment horizontal="center" vertical="center" wrapText="1"/>
    </xf>
    <xf numFmtId="9" fontId="5" fillId="11" borderId="1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0" fontId="0" fillId="26" borderId="0" xfId="0" applyFill="1" applyAlignment="1">
      <alignment horizontal="left"/>
    </xf>
    <xf numFmtId="0" fontId="0" fillId="26" borderId="0" xfId="0" applyFill="1" applyAlignment="1">
      <alignment/>
    </xf>
    <xf numFmtId="0" fontId="2" fillId="0" borderId="13" xfId="0" applyFont="1" applyBorder="1" applyAlignment="1">
      <alignment horizontal="left"/>
    </xf>
    <xf numFmtId="0" fontId="2" fillId="7" borderId="13" xfId="0" applyFont="1" applyFill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4" borderId="13" xfId="0" applyFont="1" applyFill="1" applyBorder="1" applyAlignment="1">
      <alignment horizontal="center" textRotation="90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textRotation="90" wrapText="1" shrinkToFit="1"/>
    </xf>
    <xf numFmtId="0" fontId="2" fillId="24" borderId="13" xfId="0" applyFont="1" applyFill="1" applyBorder="1" applyAlignment="1">
      <alignment horizontal="center" textRotation="90" wrapText="1" shrinkToFit="1"/>
    </xf>
    <xf numFmtId="0" fontId="2" fillId="5" borderId="13" xfId="0" applyFont="1" applyFill="1" applyBorder="1" applyAlignment="1">
      <alignment horizontal="center" textRotation="90" wrapText="1" shrinkToFit="1"/>
    </xf>
    <xf numFmtId="0" fontId="2" fillId="4" borderId="13" xfId="0" applyFont="1" applyFill="1" applyBorder="1" applyAlignment="1">
      <alignment horizontal="center" textRotation="90" wrapText="1" shrinkToFit="1"/>
    </xf>
    <xf numFmtId="0" fontId="2" fillId="11" borderId="13" xfId="0" applyFont="1" applyFill="1" applyBorder="1" applyAlignment="1">
      <alignment horizontal="center" textRotation="90" wrapText="1" shrinkToFit="1"/>
    </xf>
    <xf numFmtId="0" fontId="2" fillId="20" borderId="13" xfId="0" applyFont="1" applyFill="1" applyBorder="1" applyAlignment="1">
      <alignment horizontal="center" textRotation="90" wrapText="1" shrinkToFit="1"/>
    </xf>
    <xf numFmtId="0" fontId="2" fillId="25" borderId="13" xfId="0" applyFont="1" applyFill="1" applyBorder="1" applyAlignment="1">
      <alignment horizontal="center" textRotation="90" wrapText="1" shrinkToFit="1"/>
    </xf>
    <xf numFmtId="0" fontId="2" fillId="22" borderId="13" xfId="0" applyFont="1" applyFill="1" applyBorder="1" applyAlignment="1">
      <alignment horizontal="center" textRotation="90" wrapText="1" shrinkToFit="1"/>
    </xf>
    <xf numFmtId="0" fontId="2" fillId="7" borderId="13" xfId="0" applyFont="1" applyFill="1" applyBorder="1" applyAlignment="1">
      <alignment horizontal="center" textRotation="90" wrapText="1" shrinkToFi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3" fontId="1" fillId="0" borderId="11" xfId="0" applyNumberFormat="1" applyFont="1" applyFill="1" applyBorder="1" applyAlignment="1" quotePrefix="1">
      <alignment horizontal="center" vertical="center" wrapText="1"/>
    </xf>
    <xf numFmtId="0" fontId="12" fillId="7" borderId="14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 textRotation="90" wrapText="1" shrinkToFi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 quotePrefix="1">
      <alignment horizontal="center" vertical="center" wrapText="1"/>
    </xf>
    <xf numFmtId="0" fontId="0" fillId="26" borderId="17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0" fillId="26" borderId="18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4" borderId="25" xfId="0" applyFont="1" applyFill="1" applyBorder="1" applyAlignment="1">
      <alignment horizontal="center" textRotation="90" wrapText="1" shrinkToFit="1"/>
    </xf>
    <xf numFmtId="1" fontId="5" fillId="4" borderId="26" xfId="0" applyNumberFormat="1" applyFont="1" applyFill="1" applyBorder="1" applyAlignment="1">
      <alignment horizontal="center" vertical="center" wrapText="1"/>
    </xf>
    <xf numFmtId="1" fontId="5" fillId="4" borderId="27" xfId="0" applyNumberFormat="1" applyFont="1" applyFill="1" applyBorder="1" applyAlignment="1">
      <alignment horizontal="center" vertical="center" wrapText="1"/>
    </xf>
    <xf numFmtId="1" fontId="5" fillId="4" borderId="27" xfId="0" applyNumberFormat="1" applyFont="1" applyFill="1" applyBorder="1" applyAlignment="1" quotePrefix="1">
      <alignment horizontal="center" vertical="center" wrapText="1"/>
    </xf>
    <xf numFmtId="9" fontId="5" fillId="20" borderId="11" xfId="0" applyNumberFormat="1" applyFont="1" applyFill="1" applyBorder="1" applyAlignment="1">
      <alignment horizontal="center" vertical="center" wrapText="1"/>
    </xf>
    <xf numFmtId="3" fontId="5" fillId="26" borderId="11" xfId="0" applyNumberFormat="1" applyFont="1" applyFill="1" applyBorder="1" applyAlignment="1">
      <alignment horizontal="center" vertical="center" wrapText="1"/>
    </xf>
    <xf numFmtId="9" fontId="4" fillId="26" borderId="11" xfId="0" applyNumberFormat="1" applyFont="1" applyFill="1" applyBorder="1" applyAlignment="1">
      <alignment horizontal="center" vertical="center" wrapText="1"/>
    </xf>
    <xf numFmtId="9" fontId="5" fillId="26" borderId="11" xfId="0" applyNumberFormat="1" applyFont="1" applyFill="1" applyBorder="1" applyAlignment="1">
      <alignment horizontal="center" vertical="center" wrapText="1"/>
    </xf>
    <xf numFmtId="3" fontId="1" fillId="26" borderId="11" xfId="0" applyNumberFormat="1" applyFont="1" applyFill="1" applyBorder="1" applyAlignment="1">
      <alignment horizontal="center" vertical="center" wrapText="1"/>
    </xf>
    <xf numFmtId="1" fontId="5" fillId="26" borderId="11" xfId="0" applyNumberFormat="1" applyFont="1" applyFill="1" applyBorder="1" applyAlignment="1">
      <alignment horizontal="center" vertical="center" wrapText="1"/>
    </xf>
    <xf numFmtId="1" fontId="1" fillId="26" borderId="11" xfId="0" applyNumberFormat="1" applyFont="1" applyFill="1" applyBorder="1" applyAlignment="1">
      <alignment horizontal="center" vertical="center" wrapText="1"/>
    </xf>
    <xf numFmtId="1" fontId="5" fillId="26" borderId="21" xfId="0" applyNumberFormat="1" applyFont="1" applyFill="1" applyBorder="1" applyAlignment="1">
      <alignment horizontal="center" vertical="center" wrapText="1"/>
    </xf>
    <xf numFmtId="1" fontId="5" fillId="26" borderId="27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" fontId="5" fillId="26" borderId="10" xfId="0" applyNumberFormat="1" applyFont="1" applyFill="1" applyBorder="1" applyAlignment="1">
      <alignment horizontal="center" vertical="center" wrapText="1"/>
    </xf>
    <xf numFmtId="1" fontId="1" fillId="5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 quotePrefix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3" fontId="1" fillId="25" borderId="11" xfId="0" applyNumberFormat="1" applyFont="1" applyFill="1" applyBorder="1" applyAlignment="1" quotePrefix="1">
      <alignment horizontal="center" vertical="center" wrapText="1"/>
    </xf>
    <xf numFmtId="0" fontId="0" fillId="25" borderId="11" xfId="0" applyFill="1" applyBorder="1" applyAlignment="1" quotePrefix="1">
      <alignment horizontal="center" vertical="center" wrapText="1"/>
    </xf>
    <xf numFmtId="1" fontId="1" fillId="25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1" fontId="1" fillId="5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4" borderId="10" xfId="0" applyNumberFormat="1" applyFont="1" applyFill="1" applyBorder="1" applyAlignment="1">
      <alignment horizontal="center" vertical="center" wrapText="1"/>
    </xf>
    <xf numFmtId="1" fontId="7" fillId="11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25" borderId="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textRotation="90" wrapText="1"/>
    </xf>
    <xf numFmtId="0" fontId="5" fillId="4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4" fillId="3" borderId="11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1" fontId="15" fillId="5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10" borderId="11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" fontId="1" fillId="25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textRotation="90" wrapText="1" shrinkToFit="1"/>
    </xf>
    <xf numFmtId="9" fontId="5" fillId="20" borderId="0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9" fontId="5" fillId="26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20" borderId="0" xfId="0" applyFont="1" applyFill="1" applyBorder="1" applyAlignment="1">
      <alignment horizontal="center" wrapText="1"/>
    </xf>
    <xf numFmtId="0" fontId="2" fillId="26" borderId="0" xfId="0" applyFont="1" applyFill="1" applyBorder="1" applyAlignment="1">
      <alignment horizontal="center" textRotation="90" wrapText="1" shrinkToFit="1"/>
    </xf>
    <xf numFmtId="0" fontId="2" fillId="0" borderId="0" xfId="0" applyFont="1" applyBorder="1" applyAlignment="1">
      <alignment horizontal="center" textRotation="90" wrapText="1" shrinkToFit="1"/>
    </xf>
    <xf numFmtId="0" fontId="2" fillId="20" borderId="0" xfId="0" applyFont="1" applyFill="1" applyBorder="1" applyAlignment="1">
      <alignment horizontal="center" textRotation="90" wrapText="1" shrinkToFit="1"/>
    </xf>
    <xf numFmtId="0" fontId="2" fillId="0" borderId="0" xfId="0" applyFont="1" applyFill="1" applyBorder="1" applyAlignment="1">
      <alignment horizontal="center" textRotation="90" wrapText="1" shrinkToFit="1"/>
    </xf>
    <xf numFmtId="0" fontId="0" fillId="0" borderId="0" xfId="0" applyFont="1" applyBorder="1" applyAlignment="1">
      <alignment/>
    </xf>
    <xf numFmtId="0" fontId="0" fillId="26" borderId="0" xfId="0" applyFont="1" applyFill="1" applyBorder="1" applyAlignment="1">
      <alignment horizontal="center" textRotation="90" wrapText="1" shrinkToFit="1"/>
    </xf>
    <xf numFmtId="0" fontId="0" fillId="0" borderId="0" xfId="0" applyFont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9" fontId="5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9" fontId="1" fillId="2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26" borderId="0" xfId="0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6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left" vertical="center" wrapText="1"/>
    </xf>
    <xf numFmtId="0" fontId="20" fillId="26" borderId="0" xfId="0" applyFont="1" applyFill="1" applyBorder="1" applyAlignment="1">
      <alignment horizontal="center" textRotation="90" wrapText="1" shrinkToFit="1"/>
    </xf>
    <xf numFmtId="0" fontId="20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9" fontId="1" fillId="0" borderId="0" xfId="0" applyNumberFormat="1" applyFont="1" applyFill="1" applyBorder="1" applyAlignment="1" quotePrefix="1">
      <alignment horizontal="center" vertical="center" wrapText="1"/>
    </xf>
    <xf numFmtId="0" fontId="2" fillId="24" borderId="0" xfId="0" applyFont="1" applyFill="1" applyBorder="1" applyAlignment="1">
      <alignment horizontal="center" textRotation="90" wrapText="1" shrinkToFit="1"/>
    </xf>
    <xf numFmtId="0" fontId="2" fillId="4" borderId="0" xfId="0" applyFont="1" applyFill="1" applyBorder="1" applyAlignment="1">
      <alignment horizontal="center" textRotation="90" wrapText="1" shrinkToFit="1"/>
    </xf>
    <xf numFmtId="0" fontId="23" fillId="0" borderId="0" xfId="0" applyFont="1" applyFill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wrapText="1" shrinkToFit="1"/>
    </xf>
    <xf numFmtId="3" fontId="5" fillId="26" borderId="0" xfId="0" applyNumberFormat="1" applyFont="1" applyFill="1" applyBorder="1" applyAlignment="1">
      <alignment horizontal="center" vertical="center" wrapText="1"/>
    </xf>
    <xf numFmtId="9" fontId="4" fillId="26" borderId="0" xfId="0" applyNumberFormat="1" applyFont="1" applyFill="1" applyBorder="1" applyAlignment="1">
      <alignment horizontal="center" vertical="center" wrapText="1"/>
    </xf>
    <xf numFmtId="1" fontId="1" fillId="26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9" fontId="4" fillId="24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 quotePrefix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" fontId="5" fillId="20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textRotation="90" wrapText="1" shrinkToFit="1"/>
    </xf>
    <xf numFmtId="9" fontId="5" fillId="4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/>
    </xf>
    <xf numFmtId="9" fontId="1" fillId="4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 quotePrefix="1">
      <alignment horizontal="center" vertical="center" wrapText="1"/>
    </xf>
    <xf numFmtId="9" fontId="1" fillId="0" borderId="0" xfId="0" applyNumberFormat="1" applyFont="1" applyFill="1" applyBorder="1" applyAlignment="1">
      <alignment horizontal="right" vertical="center"/>
    </xf>
    <xf numFmtId="1" fontId="5" fillId="4" borderId="0" xfId="0" applyNumberFormat="1" applyFont="1" applyFill="1" applyBorder="1" applyAlignment="1">
      <alignment horizontal="center" vertical="center" wrapText="1"/>
    </xf>
    <xf numFmtId="1" fontId="5" fillId="4" borderId="0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Alignment="1">
      <alignment/>
    </xf>
    <xf numFmtId="9" fontId="0" fillId="0" borderId="0" xfId="59" applyAlignment="1">
      <alignment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 horizontal="right" vertical="center" wrapText="1"/>
    </xf>
    <xf numFmtId="0" fontId="0" fillId="0" borderId="29" xfId="0" applyFont="1" applyBorder="1" applyAlignment="1">
      <alignment/>
    </xf>
    <xf numFmtId="3" fontId="5" fillId="0" borderId="29" xfId="0" applyNumberFormat="1" applyFont="1" applyBorder="1" applyAlignment="1">
      <alignment horizontal="center" vertical="center" wrapText="1"/>
    </xf>
    <xf numFmtId="9" fontId="4" fillId="24" borderId="29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0" fillId="0" borderId="0" xfId="0" applyFont="1" applyFill="1" applyAlignment="1">
      <alignment horizontal="center" vertical="center"/>
    </xf>
    <xf numFmtId="0" fontId="26" fillId="7" borderId="11" xfId="0" applyFont="1" applyFill="1" applyBorder="1" applyAlignment="1">
      <alignment horizontal="center" vertical="center" wrapText="1"/>
    </xf>
    <xf numFmtId="0" fontId="0" fillId="0" borderId="0" xfId="0" applyAlignment="1" quotePrefix="1">
      <alignment horizontal="left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24" fillId="0" borderId="0" xfId="0" applyNumberFormat="1" applyFont="1" applyAlignment="1">
      <alignment horizontal="left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" fontId="20" fillId="0" borderId="0" xfId="0" applyNumberFormat="1" applyFont="1" applyAlignment="1">
      <alignment horizontal="left" vertical="center"/>
    </xf>
    <xf numFmtId="0" fontId="46" fillId="0" borderId="31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Continuous" vertical="center" wrapText="1"/>
    </xf>
    <xf numFmtId="0" fontId="2" fillId="0" borderId="35" xfId="0" applyFont="1" applyBorder="1" applyAlignment="1">
      <alignment horizontal="centerContinuous" vertical="center"/>
    </xf>
    <xf numFmtId="0" fontId="46" fillId="0" borderId="36" xfId="0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1" fontId="4" fillId="0" borderId="0" xfId="0" applyNumberFormat="1" applyFont="1" applyFill="1" applyBorder="1" applyAlignment="1">
      <alignment horizontal="left" vertical="center"/>
    </xf>
    <xf numFmtId="172" fontId="50" fillId="0" borderId="0" xfId="0" applyNumberFormat="1" applyFont="1" applyFill="1" applyBorder="1" applyAlignment="1">
      <alignment horizontal="center" vertical="center"/>
    </xf>
    <xf numFmtId="172" fontId="50" fillId="0" borderId="39" xfId="0" applyNumberFormat="1" applyFont="1" applyFill="1" applyBorder="1" applyAlignment="1">
      <alignment horizontal="center" vertical="center"/>
    </xf>
    <xf numFmtId="172" fontId="50" fillId="0" borderId="4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2" fontId="50" fillId="0" borderId="41" xfId="0" applyNumberFormat="1" applyFont="1" applyFill="1" applyBorder="1" applyAlignment="1">
      <alignment horizontal="center" vertical="center"/>
    </xf>
    <xf numFmtId="172" fontId="50" fillId="0" borderId="42" xfId="0" applyNumberFormat="1" applyFont="1" applyFill="1" applyBorder="1" applyAlignment="1">
      <alignment horizontal="center" vertical="center"/>
    </xf>
    <xf numFmtId="0" fontId="48" fillId="0" borderId="37" xfId="0" applyFont="1" applyBorder="1" applyAlignment="1">
      <alignment horizontal="centerContinuous" vertical="center"/>
    </xf>
    <xf numFmtId="0" fontId="48" fillId="0" borderId="38" xfId="0" applyFont="1" applyBorder="1" applyAlignment="1">
      <alignment horizontal="centerContinuous" vertical="center"/>
    </xf>
    <xf numFmtId="0" fontId="49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1" fontId="49" fillId="0" borderId="43" xfId="0" applyNumberFormat="1" applyFont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5" fontId="2" fillId="0" borderId="0" xfId="44" applyNumberFormat="1" applyFont="1" applyAlignment="1">
      <alignment horizontal="center" vertical="center"/>
    </xf>
    <xf numFmtId="5" fontId="2" fillId="0" borderId="39" xfId="44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49" fillId="4" borderId="0" xfId="0" applyFont="1" applyFill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0" fontId="2" fillId="17" borderId="0" xfId="0" applyFont="1" applyFill="1" applyAlignment="1">
      <alignment horizontal="center" vertical="center"/>
    </xf>
    <xf numFmtId="0" fontId="49" fillId="17" borderId="37" xfId="0" applyFont="1" applyFill="1" applyBorder="1" applyAlignment="1">
      <alignment horizontal="center" vertical="center"/>
    </xf>
    <xf numFmtId="0" fontId="49" fillId="17" borderId="38" xfId="0" applyFont="1" applyFill="1" applyBorder="1" applyAlignment="1">
      <alignment horizontal="center" vertical="center"/>
    </xf>
    <xf numFmtId="49" fontId="2" fillId="17" borderId="0" xfId="0" applyNumberFormat="1" applyFont="1" applyFill="1" applyAlignment="1">
      <alignment horizontal="center" vertical="center"/>
    </xf>
    <xf numFmtId="0" fontId="2" fillId="17" borderId="0" xfId="0" applyFont="1" applyFill="1" applyAlignment="1">
      <alignment horizontal="left" vertical="center"/>
    </xf>
    <xf numFmtId="3" fontId="2" fillId="17" borderId="0" xfId="0" applyNumberFormat="1" applyFont="1" applyFill="1" applyAlignment="1">
      <alignment horizontal="right" vertical="center"/>
    </xf>
    <xf numFmtId="3" fontId="4" fillId="17" borderId="46" xfId="0" applyNumberFormat="1" applyFont="1" applyFill="1" applyBorder="1" applyAlignment="1">
      <alignment horizontal="right" vertical="center"/>
    </xf>
    <xf numFmtId="3" fontId="4" fillId="17" borderId="0" xfId="0" applyNumberFormat="1" applyFont="1" applyFill="1" applyAlignment="1">
      <alignment horizontal="center" vertical="center"/>
    </xf>
    <xf numFmtId="3" fontId="12" fillId="17" borderId="47" xfId="0" applyNumberFormat="1" applyFont="1" applyFill="1" applyBorder="1" applyAlignment="1">
      <alignment horizontal="right" vertical="center"/>
    </xf>
    <xf numFmtId="39" fontId="4" fillId="17" borderId="0" xfId="44" applyNumberFormat="1" applyFont="1" applyFill="1" applyAlignment="1">
      <alignment horizontal="right" vertical="center"/>
    </xf>
    <xf numFmtId="39" fontId="4" fillId="17" borderId="39" xfId="44" applyNumberFormat="1" applyFont="1" applyFill="1" applyBorder="1" applyAlignment="1">
      <alignment horizontal="right" vertical="center"/>
    </xf>
    <xf numFmtId="3" fontId="4" fillId="17" borderId="0" xfId="0" applyNumberFormat="1" applyFont="1" applyFill="1" applyBorder="1" applyAlignment="1">
      <alignment horizontal="right" vertical="center"/>
    </xf>
    <xf numFmtId="2" fontId="4" fillId="17" borderId="40" xfId="0" applyNumberFormat="1" applyFont="1" applyFill="1" applyBorder="1" applyAlignment="1">
      <alignment horizontal="right" vertical="center"/>
    </xf>
    <xf numFmtId="2" fontId="4" fillId="17" borderId="0" xfId="0" applyNumberFormat="1" applyFont="1" applyFill="1" applyAlignment="1">
      <alignment horizontal="right" vertical="center"/>
    </xf>
    <xf numFmtId="2" fontId="4" fillId="17" borderId="48" xfId="0" applyNumberFormat="1" applyFont="1" applyFill="1" applyBorder="1" applyAlignment="1">
      <alignment horizontal="right" vertical="center"/>
    </xf>
    <xf numFmtId="172" fontId="4" fillId="17" borderId="0" xfId="0" applyNumberFormat="1" applyFont="1" applyFill="1" applyAlignment="1">
      <alignment horizontal="center" vertical="center"/>
    </xf>
    <xf numFmtId="3" fontId="57" fillId="17" borderId="41" xfId="0" applyNumberFormat="1" applyFont="1" applyFill="1" applyBorder="1" applyAlignment="1">
      <alignment horizontal="right" vertical="center"/>
    </xf>
    <xf numFmtId="3" fontId="57" fillId="17" borderId="42" xfId="0" applyNumberFormat="1" applyFont="1" applyFill="1" applyBorder="1" applyAlignment="1">
      <alignment horizontal="right" vertical="center"/>
    </xf>
    <xf numFmtId="0" fontId="2" fillId="17" borderId="36" xfId="0" applyFont="1" applyFill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39" fontId="4" fillId="0" borderId="0" xfId="44" applyNumberFormat="1" applyFont="1" applyFill="1" applyAlignment="1">
      <alignment horizontal="right" vertical="center"/>
    </xf>
    <xf numFmtId="39" fontId="4" fillId="0" borderId="39" xfId="44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2" fontId="4" fillId="0" borderId="4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172" fontId="4" fillId="7" borderId="48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57" fillId="0" borderId="41" xfId="0" applyNumberFormat="1" applyFont="1" applyFill="1" applyBorder="1" applyAlignment="1">
      <alignment horizontal="right" vertical="center"/>
    </xf>
    <xf numFmtId="3" fontId="57" fillId="0" borderId="42" xfId="0" applyNumberFormat="1" applyFont="1" applyFill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3" fillId="0" borderId="46" xfId="0" applyNumberFormat="1" applyFont="1" applyBorder="1" applyAlignment="1">
      <alignment horizontal="right" vertical="center"/>
    </xf>
    <xf numFmtId="3" fontId="58" fillId="0" borderId="0" xfId="0" applyNumberFormat="1" applyFont="1" applyAlignment="1">
      <alignment horizontal="center" vertical="center"/>
    </xf>
    <xf numFmtId="0" fontId="45" fillId="0" borderId="47" xfId="0" applyFont="1" applyFill="1" applyBorder="1" applyAlignment="1">
      <alignment horizontal="center" vertical="center"/>
    </xf>
    <xf numFmtId="39" fontId="3" fillId="0" borderId="0" xfId="44" applyNumberFormat="1" applyFont="1" applyAlignment="1">
      <alignment horizontal="right" vertical="center"/>
    </xf>
    <xf numFmtId="39" fontId="3" fillId="0" borderId="39" xfId="44" applyNumberFormat="1" applyFont="1" applyBorder="1" applyAlignment="1">
      <alignment horizontal="center" vertical="center"/>
    </xf>
    <xf numFmtId="39" fontId="3" fillId="0" borderId="0" xfId="44" applyNumberFormat="1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172" fontId="13" fillId="0" borderId="0" xfId="0" applyNumberFormat="1" applyFont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45" fillId="0" borderId="41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164" fontId="59" fillId="0" borderId="36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172" fontId="3" fillId="0" borderId="0" xfId="0" applyNumberFormat="1" applyFont="1" applyAlignment="1">
      <alignment horizontal="right" vertical="center"/>
    </xf>
    <xf numFmtId="0" fontId="48" fillId="0" borderId="37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3" fillId="0" borderId="46" xfId="0" applyNumberFormat="1" applyFont="1" applyFill="1" applyBorder="1" applyAlignment="1">
      <alignment horizontal="right" vertical="center"/>
    </xf>
    <xf numFmtId="3" fontId="58" fillId="0" borderId="0" xfId="0" applyNumberFormat="1" applyFont="1" applyFill="1" applyAlignment="1">
      <alignment horizontal="center" vertical="center"/>
    </xf>
    <xf numFmtId="39" fontId="3" fillId="0" borderId="0" xfId="44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3" fontId="45" fillId="0" borderId="41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0" fontId="1" fillId="20" borderId="0" xfId="0" applyFont="1" applyFill="1" applyAlignment="1">
      <alignment horizontal="center" vertical="center"/>
    </xf>
    <xf numFmtId="0" fontId="0" fillId="20" borderId="0" xfId="0" applyFill="1" applyAlignment="1">
      <alignment vertical="center"/>
    </xf>
    <xf numFmtId="3" fontId="3" fillId="2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 quotePrefix="1">
      <alignment horizontal="center" vertical="center"/>
    </xf>
    <xf numFmtId="0" fontId="48" fillId="0" borderId="37" xfId="0" applyNumberFormat="1" applyFont="1" applyFill="1" applyBorder="1" applyAlignment="1" quotePrefix="1">
      <alignment horizontal="center" vertical="center"/>
    </xf>
    <xf numFmtId="0" fontId="48" fillId="0" borderId="38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57" fillId="0" borderId="41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48" fillId="17" borderId="37" xfId="0" applyFont="1" applyFill="1" applyBorder="1" applyAlignment="1">
      <alignment horizontal="center" vertical="center"/>
    </xf>
    <xf numFmtId="0" fontId="48" fillId="17" borderId="38" xfId="0" applyFont="1" applyFill="1" applyBorder="1" applyAlignment="1">
      <alignment horizontal="center" vertical="center"/>
    </xf>
    <xf numFmtId="3" fontId="57" fillId="17" borderId="41" xfId="0" applyNumberFormat="1" applyFont="1" applyFill="1" applyBorder="1" applyAlignment="1">
      <alignment horizontal="center" vertical="center"/>
    </xf>
    <xf numFmtId="3" fontId="4" fillId="17" borderId="42" xfId="0" applyNumberFormat="1" applyFont="1" applyFill="1" applyBorder="1" applyAlignment="1">
      <alignment horizontal="center" vertical="center"/>
    </xf>
    <xf numFmtId="2" fontId="2" fillId="17" borderId="0" xfId="0" applyNumberFormat="1" applyFont="1" applyFill="1" applyAlignment="1">
      <alignment horizontal="center" vertical="center"/>
    </xf>
    <xf numFmtId="3" fontId="2" fillId="17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" fontId="4" fillId="0" borderId="46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172" fontId="4" fillId="0" borderId="0" xfId="0" applyNumberFormat="1" applyFont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9" fontId="48" fillId="0" borderId="0" xfId="44" applyNumberFormat="1" applyFont="1" applyBorder="1" applyAlignment="1">
      <alignment horizontal="center" vertical="center"/>
    </xf>
    <xf numFmtId="39" fontId="48" fillId="0" borderId="51" xfId="44" applyNumberFormat="1" applyFont="1" applyFill="1" applyBorder="1" applyAlignment="1">
      <alignment horizontal="center" vertical="center"/>
    </xf>
    <xf numFmtId="39" fontId="48" fillId="0" borderId="52" xfId="44" applyNumberFormat="1" applyFont="1" applyFill="1" applyBorder="1" applyAlignment="1">
      <alignment horizontal="center" vertical="center"/>
    </xf>
    <xf numFmtId="39" fontId="46" fillId="0" borderId="53" xfId="44" applyNumberFormat="1" applyFont="1" applyBorder="1" applyAlignment="1">
      <alignment horizontal="center" vertical="center"/>
    </xf>
    <xf numFmtId="171" fontId="61" fillId="0" borderId="0" xfId="0" applyNumberFormat="1" applyFont="1" applyAlignment="1">
      <alignment vertical="center"/>
    </xf>
    <xf numFmtId="171" fontId="12" fillId="4" borderId="0" xfId="0" applyNumberFormat="1" applyFont="1" applyFill="1" applyAlignment="1">
      <alignment vertical="center"/>
    </xf>
    <xf numFmtId="171" fontId="11" fillId="4" borderId="0" xfId="0" applyNumberFormat="1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3" fontId="4" fillId="0" borderId="46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172" fontId="4" fillId="7" borderId="54" xfId="0" applyNumberFormat="1" applyFont="1" applyFill="1" applyBorder="1" applyAlignment="1">
      <alignment horizontal="center" vertical="center"/>
    </xf>
    <xf numFmtId="2" fontId="62" fillId="0" borderId="0" xfId="0" applyNumberFormat="1" applyFont="1" applyAlignment="1">
      <alignment horizontal="center" vertical="center"/>
    </xf>
    <xf numFmtId="172" fontId="9" fillId="0" borderId="0" xfId="0" applyNumberFormat="1" applyFont="1" applyFill="1" applyBorder="1" applyAlignment="1">
      <alignment horizontal="right" vertical="center"/>
    </xf>
    <xf numFmtId="3" fontId="63" fillId="0" borderId="41" xfId="0" applyNumberFormat="1" applyFont="1" applyFill="1" applyBorder="1" applyAlignment="1">
      <alignment horizontal="center" vertical="center"/>
    </xf>
    <xf numFmtId="3" fontId="63" fillId="0" borderId="42" xfId="0" applyNumberFormat="1" applyFont="1" applyFill="1" applyBorder="1" applyAlignment="1">
      <alignment horizontal="center" vertical="center"/>
    </xf>
    <xf numFmtId="3" fontId="4" fillId="0" borderId="55" xfId="0" applyNumberFormat="1" applyFont="1" applyBorder="1" applyAlignment="1">
      <alignment horizontal="center" vertical="center"/>
    </xf>
    <xf numFmtId="2" fontId="0" fillId="0" borderId="0" xfId="0" applyNumberFormat="1" applyAlignment="1" quotePrefix="1">
      <alignment vertical="center"/>
    </xf>
    <xf numFmtId="0" fontId="21" fillId="0" borderId="0" xfId="0" applyFont="1" applyAlignment="1">
      <alignment vertical="center"/>
    </xf>
    <xf numFmtId="3" fontId="0" fillId="0" borderId="0" xfId="0" applyNumberFormat="1" applyAlignment="1" quotePrefix="1">
      <alignment vertical="center"/>
    </xf>
    <xf numFmtId="39" fontId="63" fillId="0" borderId="0" xfId="0" applyNumberFormat="1" applyFont="1" applyAlignment="1">
      <alignment horizontal="right" vertical="center"/>
    </xf>
    <xf numFmtId="39" fontId="63" fillId="0" borderId="39" xfId="0" applyNumberFormat="1" applyFont="1" applyBorder="1" applyAlignment="1">
      <alignment horizontal="right" vertical="center"/>
    </xf>
    <xf numFmtId="3" fontId="63" fillId="0" borderId="0" xfId="0" applyNumberFormat="1" applyFont="1" applyBorder="1" applyAlignment="1">
      <alignment horizontal="right" vertical="center"/>
    </xf>
    <xf numFmtId="2" fontId="63" fillId="0" borderId="40" xfId="0" applyNumberFormat="1" applyFont="1" applyBorder="1" applyAlignment="1">
      <alignment horizontal="right" vertical="center"/>
    </xf>
    <xf numFmtId="2" fontId="63" fillId="0" borderId="0" xfId="0" applyNumberFormat="1" applyFont="1" applyAlignment="1">
      <alignment horizontal="right" vertical="center"/>
    </xf>
    <xf numFmtId="172" fontId="59" fillId="0" borderId="0" xfId="0" applyNumberFormat="1" applyFont="1" applyFill="1" applyAlignment="1">
      <alignment horizontal="center" vertical="center"/>
    </xf>
    <xf numFmtId="2" fontId="62" fillId="0" borderId="0" xfId="0" applyNumberFormat="1" applyFont="1" applyFill="1" applyAlignment="1">
      <alignment horizontal="center"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4" fillId="11" borderId="58" xfId="0" applyFont="1" applyFill="1" applyBorder="1" applyAlignment="1">
      <alignment horizontal="right" vertical="center"/>
    </xf>
    <xf numFmtId="173" fontId="6" fillId="11" borderId="58" xfId="0" applyNumberFormat="1" applyFont="1" applyFill="1" applyBorder="1" applyAlignment="1">
      <alignment horizontal="center" vertical="center"/>
    </xf>
    <xf numFmtId="0" fontId="63" fillId="11" borderId="58" xfId="0" applyFont="1" applyFill="1" applyBorder="1" applyAlignment="1">
      <alignment vertical="center"/>
    </xf>
    <xf numFmtId="173" fontId="6" fillId="11" borderId="59" xfId="0" applyNumberFormat="1" applyFont="1" applyFill="1" applyBorder="1" applyAlignment="1">
      <alignment horizontal="center" vertical="center"/>
    </xf>
    <xf numFmtId="172" fontId="65" fillId="0" borderId="0" xfId="0" applyNumberFormat="1" applyFont="1" applyFill="1" applyBorder="1" applyAlignment="1">
      <alignment horizontal="center" vertical="center"/>
    </xf>
    <xf numFmtId="172" fontId="65" fillId="20" borderId="0" xfId="0" applyNumberFormat="1" applyFont="1" applyFill="1" applyBorder="1" applyAlignment="1">
      <alignment horizontal="center" vertical="center"/>
    </xf>
    <xf numFmtId="172" fontId="65" fillId="20" borderId="39" xfId="0" applyNumberFormat="1" applyFont="1" applyFill="1" applyBorder="1" applyAlignment="1">
      <alignment horizontal="center" vertical="center"/>
    </xf>
    <xf numFmtId="172" fontId="65" fillId="20" borderId="40" xfId="0" applyNumberFormat="1" applyFont="1" applyFill="1" applyBorder="1" applyAlignment="1">
      <alignment horizontal="center" vertical="center"/>
    </xf>
    <xf numFmtId="172" fontId="66" fillId="0" borderId="60" xfId="0" applyNumberFormat="1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 quotePrefix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2" fontId="0" fillId="0" borderId="0" xfId="0" applyNumberFormat="1" applyFill="1" applyAlignment="1">
      <alignment vertic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 quotePrefix="1">
      <alignment horizontal="left" vertical="center"/>
    </xf>
    <xf numFmtId="172" fontId="0" fillId="0" borderId="0" xfId="0" applyNumberFormat="1" applyFill="1" applyBorder="1" applyAlignment="1">
      <alignment vertical="center"/>
    </xf>
    <xf numFmtId="172" fontId="0" fillId="0" borderId="39" xfId="0" applyNumberFormat="1" applyFill="1" applyBorder="1" applyAlignment="1">
      <alignment vertical="center"/>
    </xf>
    <xf numFmtId="172" fontId="0" fillId="0" borderId="40" xfId="0" applyNumberFormat="1" applyFill="1" applyBorder="1" applyAlignment="1">
      <alignment vertical="center"/>
    </xf>
    <xf numFmtId="172" fontId="3" fillId="0" borderId="0" xfId="0" applyNumberFormat="1" applyFont="1" applyFill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172" fontId="4" fillId="3" borderId="0" xfId="0" applyNumberFormat="1" applyFont="1" applyFill="1" applyAlignment="1">
      <alignment horizontal="center" vertical="center"/>
    </xf>
    <xf numFmtId="172" fontId="4" fillId="3" borderId="39" xfId="0" applyNumberFormat="1" applyFont="1" applyFill="1" applyBorder="1" applyAlignment="1">
      <alignment horizontal="center" vertical="center"/>
    </xf>
    <xf numFmtId="172" fontId="0" fillId="3" borderId="0" xfId="0" applyNumberFormat="1" applyFill="1" applyBorder="1" applyAlignment="1">
      <alignment vertical="center"/>
    </xf>
    <xf numFmtId="172" fontId="4" fillId="3" borderId="4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68" fillId="0" borderId="0" xfId="0" applyFont="1" applyAlignment="1">
      <alignment horizontal="right" vertical="center"/>
    </xf>
    <xf numFmtId="0" fontId="68" fillId="0" borderId="39" xfId="0" applyFont="1" applyBorder="1" applyAlignment="1">
      <alignment horizontal="right" vertical="center"/>
    </xf>
    <xf numFmtId="172" fontId="68" fillId="0" borderId="0" xfId="0" applyNumberFormat="1" applyFont="1" applyBorder="1" applyAlignment="1">
      <alignment vertical="center"/>
    </xf>
    <xf numFmtId="0" fontId="69" fillId="0" borderId="40" xfId="0" applyFont="1" applyBorder="1" applyAlignment="1" quotePrefix="1">
      <alignment vertical="center"/>
    </xf>
    <xf numFmtId="0" fontId="69" fillId="0" borderId="0" xfId="0" applyFont="1" applyAlignment="1" quotePrefix="1">
      <alignment vertical="center"/>
    </xf>
    <xf numFmtId="172" fontId="68" fillId="0" borderId="0" xfId="0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51" fillId="0" borderId="0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71" fillId="3" borderId="0" xfId="0" applyFont="1" applyFill="1" applyAlignment="1">
      <alignment horizontal="right" vertical="center"/>
    </xf>
    <xf numFmtId="0" fontId="58" fillId="3" borderId="0" xfId="0" applyFont="1" applyFill="1" applyAlignment="1">
      <alignment horizontal="right" vertical="center"/>
    </xf>
    <xf numFmtId="0" fontId="58" fillId="3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20" fillId="7" borderId="0" xfId="0" applyFont="1" applyFill="1" applyAlignment="1">
      <alignment horizontal="right" vertical="center"/>
    </xf>
    <xf numFmtId="172" fontId="66" fillId="7" borderId="0" xfId="0" applyNumberFormat="1" applyFont="1" applyFill="1" applyBorder="1" applyAlignment="1">
      <alignment horizontal="center" vertical="center"/>
    </xf>
    <xf numFmtId="172" fontId="63" fillId="7" borderId="39" xfId="0" applyNumberFormat="1" applyFont="1" applyFill="1" applyBorder="1" applyAlignment="1">
      <alignment horizontal="center" vertical="center"/>
    </xf>
    <xf numFmtId="172" fontId="63" fillId="7" borderId="0" xfId="0" applyNumberFormat="1" applyFont="1" applyFill="1" applyBorder="1" applyAlignment="1">
      <alignment horizontal="center" vertical="center"/>
    </xf>
    <xf numFmtId="172" fontId="63" fillId="7" borderId="40" xfId="0" applyNumberFormat="1" applyFont="1" applyFill="1" applyBorder="1" applyAlignment="1">
      <alignment horizontal="center" vertical="center"/>
    </xf>
    <xf numFmtId="172" fontId="72" fillId="0" borderId="60" xfId="0" applyNumberFormat="1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left" vertical="center"/>
    </xf>
    <xf numFmtId="172" fontId="66" fillId="0" borderId="0" xfId="0" applyNumberFormat="1" applyFont="1" applyFill="1" applyBorder="1" applyAlignment="1">
      <alignment horizontal="center" vertical="center"/>
    </xf>
    <xf numFmtId="172" fontId="63" fillId="0" borderId="0" xfId="0" applyNumberFormat="1" applyFont="1" applyFill="1" applyBorder="1" applyAlignment="1">
      <alignment horizontal="center" vertical="center"/>
    </xf>
    <xf numFmtId="172" fontId="65" fillId="0" borderId="39" xfId="0" applyNumberFormat="1" applyFont="1" applyFill="1" applyBorder="1" applyAlignment="1">
      <alignment horizontal="center" vertical="center"/>
    </xf>
    <xf numFmtId="172" fontId="65" fillId="0" borderId="40" xfId="0" applyNumberFormat="1" applyFont="1" applyFill="1" applyBorder="1" applyAlignment="1">
      <alignment horizontal="center" vertical="center"/>
    </xf>
    <xf numFmtId="172" fontId="7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8" fillId="24" borderId="61" xfId="0" applyFont="1" applyFill="1" applyBorder="1" applyAlignment="1">
      <alignment vertical="center"/>
    </xf>
    <xf numFmtId="3" fontId="9" fillId="24" borderId="61" xfId="0" applyNumberFormat="1" applyFont="1" applyFill="1" applyBorder="1" applyAlignment="1">
      <alignment horizontal="right" vertical="center"/>
    </xf>
    <xf numFmtId="172" fontId="8" fillId="24" borderId="61" xfId="0" applyNumberFormat="1" applyFont="1" applyFill="1" applyBorder="1" applyAlignment="1">
      <alignment horizontal="right" vertical="center"/>
    </xf>
    <xf numFmtId="0" fontId="8" fillId="24" borderId="62" xfId="0" applyFont="1" applyFill="1" applyBorder="1" applyAlignment="1">
      <alignment horizontal="right" vertical="center"/>
    </xf>
    <xf numFmtId="0" fontId="9" fillId="0" borderId="63" xfId="0" applyFont="1" applyFill="1" applyBorder="1" applyAlignment="1">
      <alignment horizontal="right" vertical="center"/>
    </xf>
    <xf numFmtId="0" fontId="2" fillId="0" borderId="0" xfId="0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24" borderId="0" xfId="0" applyFont="1" applyFill="1" applyBorder="1" applyAlignment="1">
      <alignment vertical="center"/>
    </xf>
    <xf numFmtId="3" fontId="9" fillId="24" borderId="0" xfId="0" applyNumberFormat="1" applyFont="1" applyFill="1" applyBorder="1" applyAlignment="1">
      <alignment horizontal="right" vertical="center"/>
    </xf>
    <xf numFmtId="3" fontId="9" fillId="24" borderId="39" xfId="0" applyNumberFormat="1" applyFont="1" applyFill="1" applyBorder="1" applyAlignment="1">
      <alignment horizontal="right" vertical="center"/>
    </xf>
    <xf numFmtId="3" fontId="9" fillId="24" borderId="40" xfId="0" applyNumberFormat="1" applyFont="1" applyFill="1" applyBorder="1" applyAlignment="1">
      <alignment horizontal="right" vertical="center"/>
    </xf>
    <xf numFmtId="172" fontId="8" fillId="24" borderId="0" xfId="0" applyNumberFormat="1" applyFont="1" applyFill="1" applyBorder="1" applyAlignment="1">
      <alignment horizontal="right" vertical="center"/>
    </xf>
    <xf numFmtId="0" fontId="75" fillId="24" borderId="64" xfId="0" applyFont="1" applyFill="1" applyBorder="1" applyAlignment="1">
      <alignment horizontal="right" vertical="center"/>
    </xf>
    <xf numFmtId="0" fontId="25" fillId="0" borderId="63" xfId="0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24" borderId="63" xfId="0" applyFont="1" applyFill="1" applyBorder="1" applyAlignment="1">
      <alignment horizontal="left" vertical="center"/>
    </xf>
    <xf numFmtId="0" fontId="76" fillId="24" borderId="0" xfId="0" applyFont="1" applyFill="1" applyBorder="1" applyAlignment="1">
      <alignment horizontal="right" vertical="center"/>
    </xf>
    <xf numFmtId="0" fontId="8" fillId="24" borderId="64" xfId="0" applyFont="1" applyFill="1" applyBorder="1" applyAlignment="1">
      <alignment horizontal="right" vertical="center"/>
    </xf>
    <xf numFmtId="0" fontId="9" fillId="0" borderId="63" xfId="0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56" fillId="24" borderId="64" xfId="0" applyFont="1" applyFill="1" applyBorder="1" applyAlignment="1">
      <alignment horizontal="right" vertical="center"/>
    </xf>
    <xf numFmtId="0" fontId="77" fillId="0" borderId="63" xfId="0" applyFont="1" applyFill="1" applyBorder="1" applyAlignment="1">
      <alignment horizontal="right" vertical="center"/>
    </xf>
    <xf numFmtId="0" fontId="15" fillId="0" borderId="0" xfId="0" applyFont="1" applyAlignment="1" quotePrefix="1">
      <alignment horizontal="left" vertical="center"/>
    </xf>
    <xf numFmtId="172" fontId="78" fillId="0" borderId="0" xfId="0" applyNumberFormat="1" applyFont="1" applyFill="1" applyBorder="1" applyAlignment="1">
      <alignment horizontal="center" vertical="center"/>
    </xf>
    <xf numFmtId="172" fontId="78" fillId="0" borderId="0" xfId="0" applyNumberFormat="1" applyFont="1" applyFill="1" applyBorder="1" applyAlignment="1">
      <alignment horizontal="right" vertical="center"/>
    </xf>
    <xf numFmtId="0" fontId="8" fillId="24" borderId="65" xfId="0" applyFont="1" applyFill="1" applyBorder="1" applyAlignment="1">
      <alignment horizontal="right" vertical="center"/>
    </xf>
    <xf numFmtId="0" fontId="8" fillId="24" borderId="65" xfId="0" applyFont="1" applyFill="1" applyBorder="1" applyAlignment="1">
      <alignment vertical="center"/>
    </xf>
    <xf numFmtId="172" fontId="9" fillId="24" borderId="65" xfId="0" applyNumberFormat="1" applyFont="1" applyFill="1" applyBorder="1" applyAlignment="1">
      <alignment horizontal="right" vertical="center"/>
    </xf>
    <xf numFmtId="0" fontId="1" fillId="24" borderId="64" xfId="0" applyFont="1" applyFill="1" applyBorder="1" applyAlignment="1">
      <alignment horizontal="left" vertical="center"/>
    </xf>
    <xf numFmtId="0" fontId="15" fillId="0" borderId="63" xfId="0" applyFont="1" applyFill="1" applyBorder="1" applyAlignment="1" quotePrefix="1">
      <alignment horizontal="left" vertical="center"/>
    </xf>
    <xf numFmtId="0" fontId="78" fillId="24" borderId="0" xfId="0" applyFont="1" applyFill="1" applyBorder="1" applyAlignment="1">
      <alignment horizontal="right" vertical="center"/>
    </xf>
    <xf numFmtId="172" fontId="78" fillId="24" borderId="0" xfId="0" applyNumberFormat="1" applyFont="1" applyFill="1" applyBorder="1" applyAlignment="1">
      <alignment horizontal="center" vertical="center"/>
    </xf>
    <xf numFmtId="0" fontId="78" fillId="24" borderId="0" xfId="0" applyFont="1" applyFill="1" applyBorder="1" applyAlignment="1">
      <alignment vertical="center"/>
    </xf>
    <xf numFmtId="172" fontId="78" fillId="24" borderId="0" xfId="0" applyNumberFormat="1" applyFont="1" applyFill="1" applyBorder="1" applyAlignment="1">
      <alignment horizontal="right" vertical="center"/>
    </xf>
    <xf numFmtId="172" fontId="78" fillId="24" borderId="39" xfId="0" applyNumberFormat="1" applyFont="1" applyFill="1" applyBorder="1" applyAlignment="1">
      <alignment horizontal="center" vertical="center"/>
    </xf>
    <xf numFmtId="172" fontId="78" fillId="24" borderId="40" xfId="0" applyNumberFormat="1" applyFont="1" applyFill="1" applyBorder="1" applyAlignment="1">
      <alignment horizontal="center" vertical="center"/>
    </xf>
    <xf numFmtId="0" fontId="80" fillId="24" borderId="0" xfId="0" applyFont="1" applyFill="1" applyBorder="1" applyAlignment="1">
      <alignment horizontal="right" vertical="center"/>
    </xf>
    <xf numFmtId="0" fontId="45" fillId="24" borderId="0" xfId="0" applyFont="1" applyFill="1" applyBorder="1" applyAlignment="1">
      <alignment vertical="center"/>
    </xf>
    <xf numFmtId="172" fontId="45" fillId="24" borderId="0" xfId="0" applyNumberFormat="1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center" vertical="center"/>
    </xf>
    <xf numFmtId="172" fontId="45" fillId="0" borderId="0" xfId="0" applyNumberFormat="1" applyFont="1" applyFill="1" applyBorder="1" applyAlignment="1">
      <alignment horizontal="right" vertical="center"/>
    </xf>
    <xf numFmtId="0" fontId="60" fillId="24" borderId="0" xfId="0" applyFont="1" applyFill="1" applyBorder="1" applyAlignment="1">
      <alignment horizontal="right" vertical="center"/>
    </xf>
    <xf numFmtId="3" fontId="45" fillId="24" borderId="0" xfId="0" applyNumberFormat="1" applyFont="1" applyFill="1" applyBorder="1" applyAlignment="1">
      <alignment horizontal="center" vertical="center"/>
    </xf>
    <xf numFmtId="0" fontId="45" fillId="24" borderId="0" xfId="0" applyFont="1" applyFill="1" applyBorder="1" applyAlignment="1">
      <alignment horizontal="right" vertical="center"/>
    </xf>
    <xf numFmtId="3" fontId="45" fillId="24" borderId="0" xfId="0" applyNumberFormat="1" applyFont="1" applyFill="1" applyBorder="1" applyAlignment="1">
      <alignment horizontal="right" vertical="center"/>
    </xf>
    <xf numFmtId="3" fontId="45" fillId="24" borderId="39" xfId="0" applyNumberFormat="1" applyFont="1" applyFill="1" applyBorder="1" applyAlignment="1">
      <alignment horizontal="center" vertical="center"/>
    </xf>
    <xf numFmtId="3" fontId="45" fillId="24" borderId="40" xfId="0" applyNumberFormat="1" applyFont="1" applyFill="1" applyBorder="1" applyAlignment="1">
      <alignment horizontal="center" vertical="center"/>
    </xf>
    <xf numFmtId="172" fontId="45" fillId="0" borderId="0" xfId="0" applyNumberFormat="1" applyFont="1" applyFill="1" applyBorder="1" applyAlignment="1">
      <alignment horizontal="center" vertical="center"/>
    </xf>
    <xf numFmtId="0" fontId="8" fillId="24" borderId="66" xfId="0" applyFont="1" applyFill="1" applyBorder="1" applyAlignment="1">
      <alignment horizontal="right" vertical="center"/>
    </xf>
    <xf numFmtId="172" fontId="3" fillId="24" borderId="66" xfId="0" applyNumberFormat="1" applyFont="1" applyFill="1" applyBorder="1" applyAlignment="1">
      <alignment horizontal="center" vertical="center"/>
    </xf>
    <xf numFmtId="0" fontId="8" fillId="24" borderId="66" xfId="0" applyFont="1" applyFill="1" applyBorder="1" applyAlignment="1">
      <alignment vertical="center"/>
    </xf>
    <xf numFmtId="172" fontId="8" fillId="24" borderId="66" xfId="0" applyNumberFormat="1" applyFont="1" applyFill="1" applyBorder="1" applyAlignment="1">
      <alignment horizontal="right" vertical="center"/>
    </xf>
    <xf numFmtId="172" fontId="3" fillId="24" borderId="67" xfId="0" applyNumberFormat="1" applyFont="1" applyFill="1" applyBorder="1" applyAlignment="1">
      <alignment horizontal="center" vertical="center"/>
    </xf>
    <xf numFmtId="172" fontId="8" fillId="24" borderId="66" xfId="0" applyNumberFormat="1" applyFont="1" applyFill="1" applyBorder="1" applyAlignment="1">
      <alignment horizontal="center" vertical="center"/>
    </xf>
    <xf numFmtId="172" fontId="3" fillId="24" borderId="68" xfId="0" applyNumberFormat="1" applyFont="1" applyFill="1" applyBorder="1" applyAlignment="1">
      <alignment horizontal="center" vertical="center"/>
    </xf>
    <xf numFmtId="0" fontId="1" fillId="24" borderId="69" xfId="0" applyFont="1" applyFill="1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0" xfId="0" applyAlignment="1">
      <alignment horizontal="left" vertical="center"/>
    </xf>
    <xf numFmtId="49" fontId="82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0" fontId="9" fillId="0" borderId="72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2" fillId="20" borderId="0" xfId="0" applyFont="1" applyFill="1" applyAlignment="1">
      <alignment horizontal="centerContinuous" vertical="center"/>
    </xf>
    <xf numFmtId="5" fontId="8" fillId="0" borderId="39" xfId="44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0" fillId="2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5" fillId="20" borderId="0" xfId="0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49" fillId="0" borderId="0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48" fillId="0" borderId="37" xfId="0" applyFont="1" applyFill="1" applyBorder="1" applyAlignment="1">
      <alignment horizontal="centerContinuous" vertical="center"/>
    </xf>
    <xf numFmtId="0" fontId="48" fillId="0" borderId="38" xfId="0" applyFont="1" applyFill="1" applyBorder="1" applyAlignment="1">
      <alignment horizontal="centerContinuous" vertical="center"/>
    </xf>
    <xf numFmtId="0" fontId="49" fillId="0" borderId="0" xfId="0" applyFont="1" applyFill="1" applyAlignment="1">
      <alignment horizontal="center" vertical="center"/>
    </xf>
    <xf numFmtId="49" fontId="49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1" fontId="49" fillId="0" borderId="0" xfId="0" applyNumberFormat="1" applyFont="1" applyFill="1" applyAlignment="1">
      <alignment horizontal="center" vertical="center"/>
    </xf>
    <xf numFmtId="1" fontId="49" fillId="0" borderId="46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5" fontId="2" fillId="0" borderId="0" xfId="44" applyNumberFormat="1" applyFont="1" applyFill="1" applyAlignment="1">
      <alignment horizontal="center" vertical="center"/>
    </xf>
    <xf numFmtId="5" fontId="2" fillId="0" borderId="39" xfId="44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6" fillId="22" borderId="0" xfId="0" applyFont="1" applyFill="1" applyAlignment="1">
      <alignment horizontal="center" vertical="center"/>
    </xf>
    <xf numFmtId="0" fontId="45" fillId="22" borderId="0" xfId="0" applyFont="1" applyFill="1" applyAlignment="1">
      <alignment horizontal="center" vertical="center"/>
    </xf>
    <xf numFmtId="0" fontId="60" fillId="22" borderId="37" xfId="0" applyFont="1" applyFill="1" applyBorder="1" applyAlignment="1">
      <alignment horizontal="center" vertical="center"/>
    </xf>
    <xf numFmtId="0" fontId="60" fillId="22" borderId="38" xfId="0" applyFont="1" applyFill="1" applyBorder="1" applyAlignment="1">
      <alignment horizontal="center" vertical="center"/>
    </xf>
    <xf numFmtId="0" fontId="16" fillId="22" borderId="0" xfId="0" applyFont="1" applyFill="1" applyBorder="1" applyAlignment="1">
      <alignment horizontal="center" vertical="center"/>
    </xf>
    <xf numFmtId="0" fontId="16" fillId="22" borderId="47" xfId="0" applyFont="1" applyFill="1" applyBorder="1" applyAlignment="1">
      <alignment horizontal="center" vertical="center"/>
    </xf>
    <xf numFmtId="0" fontId="16" fillId="22" borderId="46" xfId="0" applyFont="1" applyFill="1" applyBorder="1" applyAlignment="1">
      <alignment horizontal="center" vertical="center"/>
    </xf>
    <xf numFmtId="0" fontId="16" fillId="22" borderId="39" xfId="0" applyFont="1" applyFill="1" applyBorder="1" applyAlignment="1">
      <alignment horizontal="center" vertical="center"/>
    </xf>
    <xf numFmtId="0" fontId="45" fillId="22" borderId="0" xfId="0" applyFont="1" applyFill="1" applyBorder="1" applyAlignment="1">
      <alignment horizontal="center" vertical="center"/>
    </xf>
    <xf numFmtId="0" fontId="16" fillId="22" borderId="40" xfId="0" applyFont="1" applyFill="1" applyBorder="1" applyAlignment="1">
      <alignment horizontal="center" vertical="center"/>
    </xf>
    <xf numFmtId="0" fontId="16" fillId="22" borderId="48" xfId="0" applyFont="1" applyFill="1" applyBorder="1" applyAlignment="1">
      <alignment horizontal="center" vertical="center"/>
    </xf>
    <xf numFmtId="0" fontId="16" fillId="22" borderId="41" xfId="0" applyFont="1" applyFill="1" applyBorder="1" applyAlignment="1">
      <alignment horizontal="center" vertical="center"/>
    </xf>
    <xf numFmtId="0" fontId="16" fillId="22" borderId="42" xfId="0" applyFont="1" applyFill="1" applyBorder="1" applyAlignment="1">
      <alignment horizontal="center" vertical="center"/>
    </xf>
    <xf numFmtId="0" fontId="45" fillId="22" borderId="36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22" borderId="0" xfId="0" applyFont="1" applyFill="1" applyAlignment="1">
      <alignment horizontal="center"/>
    </xf>
    <xf numFmtId="0" fontId="16" fillId="22" borderId="36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6" fontId="45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17" borderId="0" xfId="0" applyFont="1" applyFill="1" applyBorder="1" applyAlignment="1">
      <alignment horizontal="left" vertical="center"/>
    </xf>
    <xf numFmtId="0" fontId="1" fillId="11" borderId="0" xfId="0" applyFont="1" applyFill="1" applyAlignment="1">
      <alignment horizontal="center" vertical="center"/>
    </xf>
    <xf numFmtId="0" fontId="5" fillId="27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45" fillId="7" borderId="47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5" fillId="14" borderId="0" xfId="0" applyFont="1" applyFill="1" applyAlignment="1">
      <alignment horizontal="center" vertical="center"/>
    </xf>
    <xf numFmtId="0" fontId="45" fillId="24" borderId="4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3" fontId="58" fillId="3" borderId="0" xfId="0" applyNumberFormat="1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27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28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left" vertical="center"/>
    </xf>
    <xf numFmtId="0" fontId="45" fillId="25" borderId="47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1" fillId="19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77" fillId="0" borderId="37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/>
    </xf>
    <xf numFmtId="3" fontId="83" fillId="0" borderId="0" xfId="0" applyNumberFormat="1" applyFont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3" fontId="7" fillId="0" borderId="46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center" vertical="center"/>
    </xf>
    <xf numFmtId="39" fontId="7" fillId="0" borderId="0" xfId="44" applyNumberFormat="1" applyFont="1" applyAlignment="1">
      <alignment horizontal="right" vertical="center"/>
    </xf>
    <xf numFmtId="39" fontId="7" fillId="0" borderId="39" xfId="44" applyNumberFormat="1" applyFont="1" applyBorder="1" applyAlignment="1">
      <alignment horizontal="center" vertical="center"/>
    </xf>
    <xf numFmtId="39" fontId="7" fillId="0" borderId="0" xfId="44" applyNumberFormat="1" applyFont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2" fontId="7" fillId="0" borderId="40" xfId="0" applyNumberFormat="1" applyFont="1" applyBorder="1" applyAlignment="1">
      <alignment horizontal="center" vertical="center"/>
    </xf>
    <xf numFmtId="2" fontId="7" fillId="0" borderId="0" xfId="0" applyNumberFormat="1" applyFont="1" applyFill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0" fontId="5" fillId="4" borderId="0" xfId="0" applyFont="1" applyFill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19" borderId="0" xfId="0" applyFont="1" applyFill="1" applyAlignment="1">
      <alignment horizontal="center" vertical="center"/>
    </xf>
    <xf numFmtId="0" fontId="1" fillId="29" borderId="0" xfId="0" applyFont="1" applyFill="1" applyAlignment="1">
      <alignment horizontal="center" vertical="center"/>
    </xf>
    <xf numFmtId="0" fontId="84" fillId="0" borderId="47" xfId="0" applyFont="1" applyFill="1" applyBorder="1" applyAlignment="1">
      <alignment horizontal="center" vertical="center"/>
    </xf>
    <xf numFmtId="3" fontId="45" fillId="0" borderId="0" xfId="0" applyNumberFormat="1" applyFont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9" fontId="8" fillId="0" borderId="39" xfId="44" applyNumberFormat="1" applyFont="1" applyBorder="1" applyAlignment="1">
      <alignment horizontal="center" vertical="center"/>
    </xf>
    <xf numFmtId="39" fontId="8" fillId="0" borderId="0" xfId="44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9" fontId="8" fillId="0" borderId="40" xfId="44" applyNumberFormat="1" applyFont="1" applyBorder="1" applyAlignment="1">
      <alignment horizontal="center" vertical="center"/>
    </xf>
    <xf numFmtId="172" fontId="3" fillId="7" borderId="4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9" fontId="85" fillId="0" borderId="47" xfId="44" applyNumberFormat="1" applyFont="1" applyFill="1" applyBorder="1" applyAlignment="1">
      <alignment horizontal="center" vertical="center"/>
    </xf>
    <xf numFmtId="39" fontId="86" fillId="0" borderId="74" xfId="44" applyNumberFormat="1" applyFont="1" applyBorder="1" applyAlignment="1">
      <alignment horizontal="center" vertical="center"/>
    </xf>
    <xf numFmtId="39" fontId="86" fillId="0" borderId="0" xfId="44" applyNumberFormat="1" applyFont="1" applyBorder="1" applyAlignment="1">
      <alignment horizontal="center" vertical="center"/>
    </xf>
    <xf numFmtId="39" fontId="87" fillId="0" borderId="46" xfId="44" applyNumberFormat="1" applyFont="1" applyBorder="1" applyAlignment="1">
      <alignment horizontal="center" vertical="center"/>
    </xf>
    <xf numFmtId="39" fontId="67" fillId="0" borderId="0" xfId="44" applyNumberFormat="1" applyFont="1" applyBorder="1" applyAlignment="1">
      <alignment horizontal="center" vertical="center"/>
    </xf>
    <xf numFmtId="39" fontId="87" fillId="0" borderId="0" xfId="44" applyNumberFormat="1" applyFont="1" applyBorder="1" applyAlignment="1">
      <alignment horizontal="center" vertical="center"/>
    </xf>
    <xf numFmtId="39" fontId="87" fillId="0" borderId="39" xfId="44" applyNumberFormat="1" applyFont="1" applyBorder="1" applyAlignment="1">
      <alignment horizontal="center" vertical="center"/>
    </xf>
    <xf numFmtId="39" fontId="87" fillId="0" borderId="40" xfId="44" applyNumberFormat="1" applyFont="1" applyBorder="1" applyAlignment="1">
      <alignment horizontal="center" vertical="center"/>
    </xf>
    <xf numFmtId="39" fontId="87" fillId="7" borderId="48" xfId="44" applyNumberFormat="1" applyFont="1" applyFill="1" applyBorder="1" applyAlignment="1">
      <alignment horizontal="center" vertical="center"/>
    </xf>
    <xf numFmtId="164" fontId="12" fillId="0" borderId="75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0" fillId="7" borderId="76" xfId="0" applyFont="1" applyFill="1" applyBorder="1" applyAlignment="1">
      <alignment horizontal="centerContinuous" vertical="center"/>
    </xf>
    <xf numFmtId="0" fontId="0" fillId="7" borderId="0" xfId="0" applyFill="1" applyBorder="1" applyAlignment="1">
      <alignment horizontal="centerContinuous" vertical="center"/>
    </xf>
    <xf numFmtId="0" fontId="0" fillId="7" borderId="77" xfId="0" applyFill="1" applyBorder="1" applyAlignment="1">
      <alignment horizontal="centerContinuous" vertical="center"/>
    </xf>
    <xf numFmtId="0" fontId="0" fillId="11" borderId="78" xfId="0" applyFill="1" applyBorder="1" applyAlignment="1">
      <alignment horizontal="left" vertical="center"/>
    </xf>
    <xf numFmtId="172" fontId="6" fillId="11" borderId="79" xfId="0" applyNumberFormat="1" applyFont="1" applyFill="1" applyBorder="1" applyAlignment="1">
      <alignment horizontal="center" vertical="center"/>
    </xf>
    <xf numFmtId="0" fontId="0" fillId="7" borderId="76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77" xfId="0" applyFill="1" applyBorder="1" applyAlignment="1">
      <alignment vertical="center"/>
    </xf>
    <xf numFmtId="0" fontId="0" fillId="7" borderId="0" xfId="0" applyFill="1" applyBorder="1" applyAlignment="1">
      <alignment horizontal="right" vertical="center"/>
    </xf>
    <xf numFmtId="172" fontId="57" fillId="22" borderId="80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73" fontId="57" fillId="22" borderId="80" xfId="0" applyNumberFormat="1" applyFont="1" applyFill="1" applyBorder="1" applyAlignment="1">
      <alignment horizontal="center" vertical="center"/>
    </xf>
    <xf numFmtId="3" fontId="70" fillId="3" borderId="0" xfId="0" applyNumberFormat="1" applyFont="1" applyFill="1" applyBorder="1" applyAlignment="1">
      <alignment horizontal="center" vertical="center"/>
    </xf>
    <xf numFmtId="0" fontId="49" fillId="3" borderId="0" xfId="0" applyFont="1" applyFill="1" applyAlignment="1">
      <alignment horizontal="right" vertical="center"/>
    </xf>
    <xf numFmtId="3" fontId="66" fillId="3" borderId="0" xfId="0" applyNumberFormat="1" applyFont="1" applyFill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56" fillId="3" borderId="0" xfId="0" applyFont="1" applyFill="1" applyBorder="1" applyAlignment="1">
      <alignment horizontal="center" vertical="center"/>
    </xf>
    <xf numFmtId="172" fontId="0" fillId="3" borderId="0" xfId="0" applyNumberFormat="1" applyFill="1" applyAlignment="1">
      <alignment vertical="center"/>
    </xf>
    <xf numFmtId="172" fontId="88" fillId="3" borderId="0" xfId="0" applyNumberFormat="1" applyFont="1" applyFill="1" applyAlignment="1">
      <alignment horizontal="left" vertical="center"/>
    </xf>
    <xf numFmtId="9" fontId="6" fillId="3" borderId="0" xfId="59" applyFont="1" applyFill="1" applyAlignment="1">
      <alignment vertical="center"/>
    </xf>
    <xf numFmtId="172" fontId="4" fillId="25" borderId="0" xfId="0" applyNumberFormat="1" applyFont="1" applyFill="1" applyAlignment="1">
      <alignment vertical="center"/>
    </xf>
    <xf numFmtId="0" fontId="2" fillId="25" borderId="0" xfId="0" applyFont="1" applyFill="1" applyAlignment="1">
      <alignment horizontal="left" vertical="center"/>
    </xf>
    <xf numFmtId="0" fontId="0" fillId="25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2" fontId="65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2" xfId="0" applyBorder="1" applyAlignment="1">
      <alignment horizontal="left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7" borderId="76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77" xfId="0" applyFont="1" applyFill="1" applyBorder="1" applyAlignment="1">
      <alignment vertical="center"/>
    </xf>
    <xf numFmtId="0" fontId="74" fillId="24" borderId="84" xfId="0" applyFont="1" applyFill="1" applyBorder="1" applyAlignment="1">
      <alignment horizontal="left" vertical="center"/>
    </xf>
    <xf numFmtId="0" fontId="74" fillId="24" borderId="61" xfId="0" applyFont="1" applyFill="1" applyBorder="1" applyAlignment="1">
      <alignment horizontal="left" vertical="center"/>
    </xf>
    <xf numFmtId="0" fontId="0" fillId="24" borderId="85" xfId="0" applyFont="1" applyFill="1" applyBorder="1" applyAlignment="1">
      <alignment vertical="center"/>
    </xf>
    <xf numFmtId="0" fontId="87" fillId="24" borderId="61" xfId="0" applyFont="1" applyFill="1" applyBorder="1" applyAlignment="1">
      <alignment horizontal="left" vertical="center"/>
    </xf>
    <xf numFmtId="3" fontId="87" fillId="24" borderId="61" xfId="0" applyNumberFormat="1" applyFont="1" applyFill="1" applyBorder="1" applyAlignment="1">
      <alignment horizontal="center" vertical="center"/>
    </xf>
    <xf numFmtId="0" fontId="0" fillId="24" borderId="61" xfId="0" applyFont="1" applyFill="1" applyBorder="1" applyAlignment="1">
      <alignment vertical="center"/>
    </xf>
    <xf numFmtId="0" fontId="67" fillId="24" borderId="61" xfId="0" applyFont="1" applyFill="1" applyBorder="1" applyAlignment="1">
      <alignment horizontal="centerContinuous" vertical="center"/>
    </xf>
    <xf numFmtId="0" fontId="67" fillId="24" borderId="86" xfId="0" applyFont="1" applyFill="1" applyBorder="1" applyAlignment="1">
      <alignment horizontal="centerContinuous" vertical="center"/>
    </xf>
    <xf numFmtId="0" fontId="8" fillId="24" borderId="61" xfId="0" applyFont="1" applyFill="1" applyBorder="1" applyAlignment="1">
      <alignment vertical="center"/>
    </xf>
    <xf numFmtId="3" fontId="8" fillId="24" borderId="61" xfId="0" applyNumberFormat="1" applyFont="1" applyFill="1" applyBorder="1" applyAlignment="1">
      <alignment horizontal="right" vertical="center"/>
    </xf>
    <xf numFmtId="3" fontId="87" fillId="24" borderId="87" xfId="0" applyNumberFormat="1" applyFont="1" applyFill="1" applyBorder="1" applyAlignment="1">
      <alignment horizontal="center" vertical="center"/>
    </xf>
    <xf numFmtId="3" fontId="8" fillId="24" borderId="61" xfId="0" applyNumberFormat="1" applyFont="1" applyFill="1" applyBorder="1" applyAlignment="1">
      <alignment horizontal="center" vertical="center"/>
    </xf>
    <xf numFmtId="3" fontId="87" fillId="24" borderId="88" xfId="0" applyNumberFormat="1" applyFont="1" applyFill="1" applyBorder="1" applyAlignment="1">
      <alignment horizontal="center" vertical="center"/>
    </xf>
    <xf numFmtId="0" fontId="8" fillId="24" borderId="89" xfId="0" applyFont="1" applyFill="1" applyBorder="1" applyAlignment="1">
      <alignment vertical="center"/>
    </xf>
    <xf numFmtId="0" fontId="8" fillId="24" borderId="90" xfId="0" applyFont="1" applyFill="1" applyBorder="1" applyAlignment="1">
      <alignment vertical="center"/>
    </xf>
    <xf numFmtId="0" fontId="5" fillId="7" borderId="0" xfId="0" applyFont="1" applyFill="1" applyBorder="1" applyAlignment="1">
      <alignment horizontal="right" vertical="center"/>
    </xf>
    <xf numFmtId="0" fontId="74" fillId="24" borderId="63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right" vertical="center"/>
    </xf>
    <xf numFmtId="0" fontId="16" fillId="3" borderId="89" xfId="0" applyFont="1" applyFill="1" applyBorder="1" applyAlignment="1">
      <alignment horizontal="right" vertical="center"/>
    </xf>
    <xf numFmtId="3" fontId="89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3" fontId="89" fillId="3" borderId="9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3" fontId="9" fillId="20" borderId="0" xfId="0" applyNumberFormat="1" applyFont="1" applyFill="1" applyBorder="1" applyAlignment="1">
      <alignment horizontal="right" vertical="center"/>
    </xf>
    <xf numFmtId="3" fontId="89" fillId="20" borderId="39" xfId="0" applyNumberFormat="1" applyFont="1" applyFill="1" applyBorder="1" applyAlignment="1">
      <alignment horizontal="center" vertical="center"/>
    </xf>
    <xf numFmtId="3" fontId="8" fillId="20" borderId="0" xfId="0" applyNumberFormat="1" applyFont="1" applyFill="1" applyBorder="1" applyAlignment="1">
      <alignment horizontal="right" vertical="center"/>
    </xf>
    <xf numFmtId="3" fontId="89" fillId="20" borderId="0" xfId="0" applyNumberFormat="1" applyFont="1" applyFill="1" applyBorder="1" applyAlignment="1">
      <alignment horizontal="center" vertical="center"/>
    </xf>
    <xf numFmtId="3" fontId="8" fillId="20" borderId="0" xfId="0" applyNumberFormat="1" applyFont="1" applyFill="1" applyBorder="1" applyAlignment="1">
      <alignment horizontal="center" vertical="center"/>
    </xf>
    <xf numFmtId="3" fontId="89" fillId="20" borderId="40" xfId="0" applyNumberFormat="1" applyFont="1" applyFill="1" applyBorder="1" applyAlignment="1">
      <alignment horizontal="center" vertical="center"/>
    </xf>
    <xf numFmtId="0" fontId="1" fillId="7" borderId="76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77" xfId="0" applyFont="1" applyFill="1" applyBorder="1" applyAlignment="1">
      <alignment vertical="center"/>
    </xf>
    <xf numFmtId="172" fontId="78" fillId="24" borderId="63" xfId="0" applyNumberFormat="1" applyFont="1" applyFill="1" applyBorder="1" applyAlignment="1">
      <alignment horizontal="left" vertical="center"/>
    </xf>
    <xf numFmtId="172" fontId="78" fillId="24" borderId="0" xfId="0" applyNumberFormat="1" applyFont="1" applyFill="1" applyBorder="1" applyAlignment="1">
      <alignment horizontal="center" vertical="center"/>
    </xf>
    <xf numFmtId="172" fontId="78" fillId="24" borderId="89" xfId="0" applyNumberFormat="1" applyFont="1" applyFill="1" applyBorder="1" applyAlignment="1">
      <alignment horizontal="center" vertical="center"/>
    </xf>
    <xf numFmtId="172" fontId="78" fillId="24" borderId="90" xfId="0" applyNumberFormat="1" applyFont="1" applyFill="1" applyBorder="1" applyAlignment="1">
      <alignment horizontal="center" vertical="center"/>
    </xf>
    <xf numFmtId="164" fontId="57" fillId="22" borderId="80" xfId="0" applyNumberFormat="1" applyFont="1" applyFill="1" applyBorder="1" applyAlignment="1">
      <alignment horizontal="center" vertical="center"/>
    </xf>
    <xf numFmtId="172" fontId="9" fillId="24" borderId="91" xfId="0" applyNumberFormat="1" applyFont="1" applyFill="1" applyBorder="1" applyAlignment="1">
      <alignment horizontal="left" vertical="center"/>
    </xf>
    <xf numFmtId="0" fontId="3" fillId="24" borderId="65" xfId="0" applyFont="1" applyFill="1" applyBorder="1" applyAlignment="1">
      <alignment horizontal="right" vertical="center"/>
    </xf>
    <xf numFmtId="172" fontId="77" fillId="24" borderId="65" xfId="0" applyNumberFormat="1" applyFont="1" applyFill="1" applyBorder="1" applyAlignment="1">
      <alignment horizontal="left" vertical="center"/>
    </xf>
    <xf numFmtId="0" fontId="16" fillId="24" borderId="92" xfId="0" applyFont="1" applyFill="1" applyBorder="1" applyAlignment="1">
      <alignment horizontal="right" vertical="center"/>
    </xf>
    <xf numFmtId="172" fontId="56" fillId="24" borderId="65" xfId="0" applyNumberFormat="1" applyFont="1" applyFill="1" applyBorder="1" applyAlignment="1">
      <alignment horizontal="left" vertical="center"/>
    </xf>
    <xf numFmtId="172" fontId="3" fillId="24" borderId="65" xfId="0" applyNumberFormat="1" applyFont="1" applyFill="1" applyBorder="1" applyAlignment="1">
      <alignment horizontal="center" vertical="center"/>
    </xf>
    <xf numFmtId="0" fontId="45" fillId="24" borderId="65" xfId="0" applyFont="1" applyFill="1" applyBorder="1" applyAlignment="1">
      <alignment horizontal="centerContinuous" vertical="center"/>
    </xf>
    <xf numFmtId="0" fontId="59" fillId="24" borderId="65" xfId="0" applyFont="1" applyFill="1" applyBorder="1" applyAlignment="1">
      <alignment horizontal="centerContinuous" vertical="center"/>
    </xf>
    <xf numFmtId="172" fontId="3" fillId="24" borderId="93" xfId="0" applyNumberFormat="1" applyFont="1" applyFill="1" applyBorder="1" applyAlignment="1">
      <alignment horizontal="center" vertical="center"/>
    </xf>
    <xf numFmtId="172" fontId="3" fillId="24" borderId="94" xfId="0" applyNumberFormat="1" applyFont="1" applyFill="1" applyBorder="1" applyAlignment="1">
      <alignment horizontal="center" vertical="center"/>
    </xf>
    <xf numFmtId="172" fontId="3" fillId="24" borderId="65" xfId="0" applyNumberFormat="1" applyFont="1" applyFill="1" applyBorder="1" applyAlignment="1">
      <alignment horizontal="right" vertical="center"/>
    </xf>
    <xf numFmtId="172" fontId="3" fillId="24" borderId="95" xfId="0" applyNumberFormat="1" applyFont="1" applyFill="1" applyBorder="1" applyAlignment="1">
      <alignment horizontal="center" vertical="center"/>
    </xf>
    <xf numFmtId="0" fontId="1" fillId="24" borderId="96" xfId="0" applyFont="1" applyFill="1" applyBorder="1" applyAlignment="1">
      <alignment horizontal="left" vertical="center"/>
    </xf>
    <xf numFmtId="172" fontId="78" fillId="24" borderId="0" xfId="0" applyNumberFormat="1" applyFont="1" applyFill="1" applyBorder="1" applyAlignment="1">
      <alignment horizontal="left" vertical="center"/>
    </xf>
    <xf numFmtId="0" fontId="16" fillId="24" borderId="89" xfId="0" applyFont="1" applyFill="1" applyBorder="1" applyAlignment="1">
      <alignment horizontal="right" vertical="center"/>
    </xf>
    <xf numFmtId="0" fontId="1" fillId="24" borderId="0" xfId="0" applyFont="1" applyFill="1" applyBorder="1" applyAlignment="1">
      <alignment vertical="center"/>
    </xf>
    <xf numFmtId="0" fontId="78" fillId="24" borderId="0" xfId="0" applyFont="1" applyFill="1" applyBorder="1" applyAlignment="1">
      <alignment horizontal="left" vertical="center"/>
    </xf>
    <xf numFmtId="0" fontId="14" fillId="24" borderId="63" xfId="0" applyFont="1" applyFill="1" applyBorder="1" applyAlignment="1">
      <alignment horizontal="center" vertical="center"/>
    </xf>
    <xf numFmtId="3" fontId="45" fillId="3" borderId="0" xfId="0" applyNumberFormat="1" applyFont="1" applyFill="1" applyBorder="1" applyAlignment="1">
      <alignment horizontal="center" vertical="center"/>
    </xf>
    <xf numFmtId="3" fontId="45" fillId="3" borderId="90" xfId="0" applyNumberFormat="1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vertical="center"/>
    </xf>
    <xf numFmtId="3" fontId="45" fillId="20" borderId="0" xfId="0" applyNumberFormat="1" applyFont="1" applyFill="1" applyBorder="1" applyAlignment="1">
      <alignment horizontal="right" vertical="center"/>
    </xf>
    <xf numFmtId="3" fontId="45" fillId="20" borderId="39" xfId="0" applyNumberFormat="1" applyFont="1" applyFill="1" applyBorder="1" applyAlignment="1">
      <alignment horizontal="center" vertical="center"/>
    </xf>
    <xf numFmtId="3" fontId="45" fillId="20" borderId="0" xfId="0" applyNumberFormat="1" applyFont="1" applyFill="1" applyBorder="1" applyAlignment="1">
      <alignment horizontal="center" vertical="center"/>
    </xf>
    <xf numFmtId="3" fontId="45" fillId="20" borderId="40" xfId="0" applyNumberFormat="1" applyFont="1" applyFill="1" applyBorder="1" applyAlignment="1">
      <alignment horizontal="center" vertical="center"/>
    </xf>
    <xf numFmtId="3" fontId="45" fillId="24" borderId="63" xfId="0" applyNumberFormat="1" applyFont="1" applyFill="1" applyBorder="1" applyAlignment="1">
      <alignment horizontal="left" vertical="center"/>
    </xf>
    <xf numFmtId="3" fontId="16" fillId="24" borderId="0" xfId="0" applyNumberFormat="1" applyFont="1" applyFill="1" applyBorder="1" applyAlignment="1">
      <alignment horizontal="left" vertical="center"/>
    </xf>
    <xf numFmtId="0" fontId="56" fillId="24" borderId="89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16" fillId="24" borderId="0" xfId="0" applyFont="1" applyFill="1" applyBorder="1" applyAlignment="1">
      <alignment horizontal="left" vertical="center"/>
    </xf>
    <xf numFmtId="3" fontId="45" fillId="24" borderId="90" xfId="0" applyNumberFormat="1" applyFont="1" applyFill="1" applyBorder="1" applyAlignment="1">
      <alignment horizontal="center" vertical="center"/>
    </xf>
    <xf numFmtId="9" fontId="57" fillId="22" borderId="80" xfId="59" applyFont="1" applyFill="1" applyBorder="1" applyAlignment="1" quotePrefix="1">
      <alignment horizontal="center" vertical="center"/>
    </xf>
    <xf numFmtId="172" fontId="45" fillId="3" borderId="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172" fontId="45" fillId="3" borderId="90" xfId="0" applyNumberFormat="1" applyFont="1" applyFill="1" applyBorder="1" applyAlignment="1">
      <alignment horizontal="center" vertical="center"/>
    </xf>
    <xf numFmtId="172" fontId="45" fillId="20" borderId="39" xfId="0" applyNumberFormat="1" applyFont="1" applyFill="1" applyBorder="1" applyAlignment="1">
      <alignment horizontal="center" vertical="center"/>
    </xf>
    <xf numFmtId="173" fontId="45" fillId="20" borderId="0" xfId="0" applyNumberFormat="1" applyFont="1" applyFill="1" applyBorder="1" applyAlignment="1">
      <alignment horizontal="center" vertical="center"/>
    </xf>
    <xf numFmtId="172" fontId="45" fillId="20" borderId="0" xfId="0" applyNumberFormat="1" applyFont="1" applyFill="1" applyBorder="1" applyAlignment="1">
      <alignment horizontal="center" vertical="center"/>
    </xf>
    <xf numFmtId="172" fontId="45" fillId="20" borderId="40" xfId="0" applyNumberFormat="1" applyFont="1" applyFill="1" applyBorder="1" applyAlignment="1">
      <alignment horizontal="center" vertical="center"/>
    </xf>
    <xf numFmtId="0" fontId="0" fillId="7" borderId="97" xfId="0" applyFill="1" applyBorder="1" applyAlignment="1">
      <alignment vertical="center"/>
    </xf>
    <xf numFmtId="0" fontId="0" fillId="7" borderId="98" xfId="0" applyFill="1" applyBorder="1" applyAlignment="1">
      <alignment vertical="center"/>
    </xf>
    <xf numFmtId="0" fontId="0" fillId="7" borderId="99" xfId="0" applyFill="1" applyBorder="1" applyAlignment="1">
      <alignment vertical="center"/>
    </xf>
    <xf numFmtId="0" fontId="11" fillId="24" borderId="89" xfId="0" applyFont="1" applyFill="1" applyBorder="1" applyAlignment="1">
      <alignment vertical="center"/>
    </xf>
    <xf numFmtId="3" fontId="55" fillId="24" borderId="0" xfId="0" applyNumberFormat="1" applyFont="1" applyFill="1" applyBorder="1" applyAlignment="1">
      <alignment horizontal="left" vertical="center"/>
    </xf>
    <xf numFmtId="172" fontId="55" fillId="24" borderId="0" xfId="0" applyNumberFormat="1" applyFont="1" applyFill="1" applyBorder="1" applyAlignment="1">
      <alignment horizontal="center" vertical="center"/>
    </xf>
    <xf numFmtId="0" fontId="55" fillId="24" borderId="0" xfId="0" applyFont="1" applyFill="1" applyBorder="1" applyAlignment="1">
      <alignment horizontal="centerContinuous" vertical="center"/>
    </xf>
    <xf numFmtId="172" fontId="55" fillId="24" borderId="90" xfId="0" applyNumberFormat="1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vertical="center"/>
    </xf>
    <xf numFmtId="3" fontId="11" fillId="24" borderId="0" xfId="0" applyNumberFormat="1" applyFont="1" applyFill="1" applyBorder="1" applyAlignment="1">
      <alignment horizontal="right" vertical="center"/>
    </xf>
    <xf numFmtId="172" fontId="55" fillId="24" borderId="39" xfId="0" applyNumberFormat="1" applyFont="1" applyFill="1" applyBorder="1" applyAlignment="1">
      <alignment horizontal="center" vertical="center"/>
    </xf>
    <xf numFmtId="3" fontId="55" fillId="24" borderId="0" xfId="0" applyNumberFormat="1" applyFont="1" applyFill="1" applyBorder="1" applyAlignment="1">
      <alignment horizontal="right" vertical="center"/>
    </xf>
    <xf numFmtId="173" fontId="55" fillId="24" borderId="0" xfId="0" applyNumberFormat="1" applyFont="1" applyFill="1" applyBorder="1" applyAlignment="1">
      <alignment horizontal="center" vertical="center"/>
    </xf>
    <xf numFmtId="172" fontId="55" fillId="24" borderId="40" xfId="0" applyNumberFormat="1" applyFont="1" applyFill="1" applyBorder="1" applyAlignment="1">
      <alignment horizontal="center" vertical="center"/>
    </xf>
    <xf numFmtId="172" fontId="11" fillId="24" borderId="0" xfId="0" applyNumberFormat="1" applyFont="1" applyFill="1" applyBorder="1" applyAlignment="1">
      <alignment horizontal="center" vertical="center"/>
    </xf>
    <xf numFmtId="172" fontId="59" fillId="24" borderId="0" xfId="0" applyNumberFormat="1" applyFont="1" applyFill="1" applyBorder="1" applyAlignment="1">
      <alignment horizontal="left" vertical="center"/>
    </xf>
    <xf numFmtId="0" fontId="45" fillId="24" borderId="89" xfId="0" applyFont="1" applyFill="1" applyBorder="1" applyAlignment="1">
      <alignment horizontal="right" vertical="center"/>
    </xf>
    <xf numFmtId="0" fontId="45" fillId="24" borderId="0" xfId="0" applyFont="1" applyFill="1" applyBorder="1" applyAlignment="1">
      <alignment horizontal="centerContinuous" vertical="center"/>
    </xf>
    <xf numFmtId="0" fontId="59" fillId="24" borderId="0" xfId="0" applyFont="1" applyFill="1" applyBorder="1" applyAlignment="1">
      <alignment horizontal="centerContinuous" vertical="center"/>
    </xf>
    <xf numFmtId="172" fontId="45" fillId="20" borderId="0" xfId="0" applyNumberFormat="1" applyFont="1" applyFill="1" applyBorder="1" applyAlignment="1">
      <alignment horizontal="right" vertical="center"/>
    </xf>
    <xf numFmtId="172" fontId="2" fillId="7" borderId="0" xfId="0" applyNumberFormat="1" applyFont="1" applyFill="1" applyBorder="1" applyAlignment="1">
      <alignment horizontal="center" vertical="center"/>
    </xf>
    <xf numFmtId="172" fontId="3" fillId="24" borderId="100" xfId="0" applyNumberFormat="1" applyFont="1" applyFill="1" applyBorder="1" applyAlignment="1">
      <alignment horizontal="left" vertical="center"/>
    </xf>
    <xf numFmtId="0" fontId="80" fillId="24" borderId="66" xfId="0" applyFont="1" applyFill="1" applyBorder="1" applyAlignment="1">
      <alignment horizontal="right" vertical="center"/>
    </xf>
    <xf numFmtId="172" fontId="59" fillId="24" borderId="66" xfId="0" applyNumberFormat="1" applyFont="1" applyFill="1" applyBorder="1" applyAlignment="1">
      <alignment horizontal="left" vertical="center"/>
    </xf>
    <xf numFmtId="0" fontId="59" fillId="24" borderId="101" xfId="0" applyFont="1" applyFill="1" applyBorder="1" applyAlignment="1">
      <alignment horizontal="right" vertical="center"/>
    </xf>
    <xf numFmtId="0" fontId="45" fillId="24" borderId="66" xfId="0" applyFont="1" applyFill="1" applyBorder="1" applyAlignment="1">
      <alignment horizontal="centerContinuous" vertical="center"/>
    </xf>
    <xf numFmtId="0" fontId="59" fillId="24" borderId="66" xfId="0" applyFont="1" applyFill="1" applyBorder="1" applyAlignment="1">
      <alignment horizontal="centerContinuous" vertical="center"/>
    </xf>
    <xf numFmtId="172" fontId="3" fillId="24" borderId="102" xfId="0" applyNumberFormat="1" applyFont="1" applyFill="1" applyBorder="1" applyAlignment="1">
      <alignment horizontal="center"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4" xfId="0" applyBorder="1" applyAlignment="1">
      <alignment horizontal="left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ionCo%202011%20Chip%20Seal%20Program%20v8%20OACES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perations\SHARED\Surface%20treatments\2012%20Work%20Season\2012%20Chip%20Seal%20Program%20v8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 Chip program"/>
      <sheetName val="2011 AC Patching - 2012 Chip"/>
      <sheetName val="2011 Slurrys"/>
      <sheetName val="PW Surface treatment"/>
      <sheetName val="Recent Yrs Overlays - 2011"/>
      <sheetName val="Fund - Dept - Div - Program - S"/>
      <sheetName val="Other Chip program no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il Invoice Problems"/>
      <sheetName val="2011 - old draft "/>
      <sheetName val="2011 AC Patching - 2012 Chip"/>
      <sheetName val="2011 Slurrys"/>
      <sheetName val="PW Surface treatment"/>
      <sheetName val="Recent Yrs Overlays - 2011"/>
      <sheetName val="Notes"/>
      <sheetName val="Fund - Dept - Div - Program - S"/>
      <sheetName val="Other Chip program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CE104"/>
  <sheetViews>
    <sheetView tabSelected="1" zoomScale="85" zoomScaleNormal="85" zoomScaleSheetLayoutView="10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2.8515625" style="2" customWidth="1"/>
    <col min="3" max="3" width="4.57421875" style="1" customWidth="1"/>
    <col min="4" max="4" width="3.28125" style="1" customWidth="1"/>
    <col min="5" max="5" width="5.57421875" style="1" customWidth="1"/>
    <col min="6" max="6" width="3.28125" style="1" customWidth="1"/>
    <col min="7" max="7" width="27.28125" style="1" customWidth="1"/>
    <col min="8" max="8" width="3.8515625" style="1" customWidth="1"/>
    <col min="9" max="9" width="14.8515625" style="1" customWidth="1"/>
    <col min="10" max="10" width="10.140625" style="1" customWidth="1"/>
    <col min="11" max="11" width="27.8515625" style="2" customWidth="1"/>
    <col min="12" max="12" width="7.7109375" style="0" customWidth="1"/>
    <col min="13" max="14" width="9.140625" style="1" customWidth="1"/>
    <col min="15" max="15" width="9.140625" style="146" customWidth="1"/>
    <col min="16" max="16" width="4.57421875" style="1" customWidth="1"/>
    <col min="17" max="20" width="5.7109375" style="1" customWidth="1"/>
    <col min="21" max="21" width="10.140625" style="1" customWidth="1"/>
    <col min="22" max="29" width="6.140625" style="1" customWidth="1"/>
    <col min="30" max="30" width="12.140625" style="1" customWidth="1"/>
    <col min="31" max="31" width="4.28125" style="1" customWidth="1"/>
    <col min="32" max="32" width="8.28125" style="1" customWidth="1"/>
    <col min="33" max="33" width="10.7109375" style="1" customWidth="1"/>
    <col min="34" max="34" width="7.00390625" style="1" customWidth="1"/>
    <col min="35" max="35" width="6.140625" style="1" customWidth="1"/>
    <col min="36" max="36" width="10.00390625" style="1" customWidth="1"/>
    <col min="37" max="37" width="10.28125" style="1" customWidth="1"/>
    <col min="38" max="38" width="6.140625" style="1" customWidth="1"/>
    <col min="39" max="39" width="11.28125" style="1" customWidth="1"/>
    <col min="40" max="40" width="23.00390625" style="1" customWidth="1"/>
    <col min="41" max="41" width="12.140625" style="1" customWidth="1"/>
    <col min="42" max="42" width="6.140625" style="1" customWidth="1"/>
    <col min="43" max="43" width="4.28125" style="1" customWidth="1"/>
    <col min="44" max="44" width="10.8515625" style="1" customWidth="1"/>
    <col min="45" max="45" width="3.57421875" style="1" customWidth="1"/>
    <col min="46" max="46" width="4.421875" style="1" customWidth="1"/>
    <col min="47" max="47" width="10.57421875" style="1" customWidth="1"/>
    <col min="48" max="66" width="3.140625" style="1" customWidth="1"/>
    <col min="67" max="67" width="9.421875" style="1" customWidth="1"/>
    <col min="68" max="69" width="9.140625" style="1" customWidth="1"/>
    <col min="70" max="70" width="5.57421875" style="1" customWidth="1"/>
    <col min="71" max="73" width="5.7109375" style="1" customWidth="1"/>
    <col min="74" max="74" width="3.421875" style="1" customWidth="1"/>
    <col min="75" max="82" width="6.140625" style="1" customWidth="1"/>
    <col min="83" max="83" width="12.140625" style="1" customWidth="1"/>
    <col min="84" max="16384" width="9.140625" style="1" customWidth="1"/>
  </cols>
  <sheetData>
    <row r="1" ht="13.5" thickBot="1"/>
    <row r="2" spans="3:82" ht="13.5" thickTop="1">
      <c r="C2" s="255" t="s">
        <v>383</v>
      </c>
      <c r="AV2" s="105">
        <f aca="true" t="shared" si="0" ref="AV2:BN2">RANK(AV3,$AV3:$BN3,)</f>
        <v>2</v>
      </c>
      <c r="AW2" s="106">
        <f t="shared" si="0"/>
        <v>1</v>
      </c>
      <c r="AX2" s="106">
        <f t="shared" si="0"/>
        <v>11</v>
      </c>
      <c r="AY2" s="106">
        <f t="shared" si="0"/>
        <v>14</v>
      </c>
      <c r="AZ2" s="106">
        <f t="shared" si="0"/>
        <v>3</v>
      </c>
      <c r="BA2" s="106">
        <f t="shared" si="0"/>
        <v>10</v>
      </c>
      <c r="BB2" s="106">
        <f t="shared" si="0"/>
        <v>19</v>
      </c>
      <c r="BC2" s="106">
        <f t="shared" si="0"/>
        <v>5</v>
      </c>
      <c r="BD2" s="106">
        <f t="shared" si="0"/>
        <v>11</v>
      </c>
      <c r="BE2" s="106">
        <f t="shared" si="0"/>
        <v>9</v>
      </c>
      <c r="BF2" s="106">
        <f t="shared" si="0"/>
        <v>16</v>
      </c>
      <c r="BG2" s="106">
        <f t="shared" si="0"/>
        <v>3</v>
      </c>
      <c r="BH2" s="106">
        <f t="shared" si="0"/>
        <v>7</v>
      </c>
      <c r="BI2" s="106">
        <f t="shared" si="0"/>
        <v>16</v>
      </c>
      <c r="BJ2" s="106">
        <f t="shared" si="0"/>
        <v>14</v>
      </c>
      <c r="BK2" s="106">
        <f t="shared" si="0"/>
        <v>18</v>
      </c>
      <c r="BL2" s="106">
        <f t="shared" si="0"/>
        <v>13</v>
      </c>
      <c r="BM2" s="106">
        <f t="shared" si="0"/>
        <v>6</v>
      </c>
      <c r="BN2" s="107">
        <f t="shared" si="0"/>
        <v>7</v>
      </c>
      <c r="BR2" s="154">
        <f>RANK(BR3,$BR3:$BU3,)</f>
        <v>4</v>
      </c>
      <c r="BS2" s="154">
        <f>RANK(BS3,$BR3:$BU3,)</f>
        <v>1</v>
      </c>
      <c r="BT2" s="154">
        <f>RANK(BT3,$BR3:$BU3,)</f>
        <v>2</v>
      </c>
      <c r="BU2" s="154">
        <f>RANK(BU3,$BR3:$BU3,)</f>
        <v>3</v>
      </c>
      <c r="BW2" s="153">
        <f>RANK(BW3,$BW3:$CD3,)</f>
        <v>5</v>
      </c>
      <c r="BX2" s="153">
        <f aca="true" t="shared" si="1" ref="BX2:CD2">RANK(BX3,$BW3:$CD3,)</f>
        <v>6</v>
      </c>
      <c r="BY2" s="153">
        <f t="shared" si="1"/>
        <v>1</v>
      </c>
      <c r="BZ2" s="153">
        <f t="shared" si="1"/>
        <v>4</v>
      </c>
      <c r="CA2" s="153">
        <f t="shared" si="1"/>
        <v>7</v>
      </c>
      <c r="CB2" s="153">
        <f t="shared" si="1"/>
        <v>2</v>
      </c>
      <c r="CC2" s="153">
        <f t="shared" si="1"/>
        <v>8</v>
      </c>
      <c r="CD2" s="153">
        <f t="shared" si="1"/>
        <v>3</v>
      </c>
    </row>
    <row r="3" spans="2:82" ht="12.75">
      <c r="B3" s="4" t="s">
        <v>23</v>
      </c>
      <c r="C3" s="3"/>
      <c r="D3" s="3">
        <f>SUM(D5:D54)</f>
        <v>37</v>
      </c>
      <c r="E3" s="3">
        <f>SUM(E5:E54)</f>
        <v>117</v>
      </c>
      <c r="F3" s="3">
        <f>SUM(F5:F54)</f>
        <v>11</v>
      </c>
      <c r="H3" s="3">
        <f>SUM(H5:H54)</f>
        <v>185</v>
      </c>
      <c r="L3" s="5">
        <f>SUM(L5:L54)</f>
        <v>31969</v>
      </c>
      <c r="M3" s="5">
        <f>SUM(M5:M54)</f>
        <v>1019.5</v>
      </c>
      <c r="N3" s="5">
        <f>SUM(N5:N54)</f>
        <v>1366.3000000000002</v>
      </c>
      <c r="O3" s="161"/>
      <c r="P3" s="57">
        <f>AVERAGE(P5:P54)</f>
        <v>0.07689215780137189</v>
      </c>
      <c r="Q3" s="57">
        <f>AVERAGE(Q5:Q54)</f>
        <v>0.2966666666666667</v>
      </c>
      <c r="R3" s="57">
        <f>AVERAGE(R5:R54)</f>
        <v>0.7695454545454545</v>
      </c>
      <c r="S3" s="57">
        <f>AVERAGE(S5:S54)</f>
        <v>0.9</v>
      </c>
      <c r="T3" s="57">
        <f>AVERAGE(T5:T54)</f>
        <v>0.3305263157894736</v>
      </c>
      <c r="V3" s="57">
        <f aca="true" t="shared" si="2" ref="V3:AC3">AVERAGE(V5:V54)</f>
        <v>0.9</v>
      </c>
      <c r="W3" s="57">
        <f t="shared" si="2"/>
        <v>0.5866666666666668</v>
      </c>
      <c r="X3" s="57">
        <f t="shared" si="2"/>
        <v>0.7692307692307693</v>
      </c>
      <c r="Y3" s="57">
        <f t="shared" si="2"/>
        <v>0.6333333333333333</v>
      </c>
      <c r="Z3" s="57">
        <f t="shared" si="2"/>
        <v>1</v>
      </c>
      <c r="AA3" s="57">
        <f t="shared" si="2"/>
        <v>1</v>
      </c>
      <c r="AB3" s="57" t="e">
        <f t="shared" si="2"/>
        <v>#DIV/0!</v>
      </c>
      <c r="AC3" s="57">
        <f t="shared" si="2"/>
        <v>0.708</v>
      </c>
      <c r="AE3" s="3">
        <f>SUM(AE5:AE54)</f>
        <v>24</v>
      </c>
      <c r="AG3" s="3">
        <f>SUM(AG5:AG54)</f>
        <v>0</v>
      </c>
      <c r="AI3" s="57">
        <f>AVERAGE(AI5:AI54)</f>
        <v>0.6083333333333333</v>
      </c>
      <c r="AJ3" s="3">
        <f>SUM(AJ5:AJ54)</f>
        <v>0</v>
      </c>
      <c r="AL3" s="57">
        <f>AVERAGE(AL5:AL54)</f>
        <v>0.1476923076923077</v>
      </c>
      <c r="AM3" s="3"/>
      <c r="AN3" s="3"/>
      <c r="AP3" s="3">
        <f>SUM(AP5:AP54)</f>
        <v>6</v>
      </c>
      <c r="AQ3" s="3">
        <f>SUM(AQ5:AQ54)</f>
        <v>10</v>
      </c>
      <c r="AS3" s="3">
        <f>SUM(AS5:AS54)</f>
        <v>10</v>
      </c>
      <c r="AT3" s="3">
        <f>SUM(AT5:AT54)</f>
        <v>92</v>
      </c>
      <c r="AV3" s="108">
        <f aca="true" t="shared" si="3" ref="AV3:BN3">SUM(AV5:AV54)</f>
        <v>17</v>
      </c>
      <c r="AW3" s="109">
        <f t="shared" si="3"/>
        <v>18</v>
      </c>
      <c r="AX3" s="109">
        <f t="shared" si="3"/>
        <v>9</v>
      </c>
      <c r="AY3" s="109">
        <f t="shared" si="3"/>
        <v>7</v>
      </c>
      <c r="AZ3" s="109">
        <f t="shared" si="3"/>
        <v>15</v>
      </c>
      <c r="BA3" s="109">
        <f t="shared" si="3"/>
        <v>10</v>
      </c>
      <c r="BB3" s="109">
        <f t="shared" si="3"/>
        <v>2</v>
      </c>
      <c r="BC3" s="109">
        <f t="shared" si="3"/>
        <v>14</v>
      </c>
      <c r="BD3" s="109">
        <f t="shared" si="3"/>
        <v>9</v>
      </c>
      <c r="BE3" s="109">
        <f t="shared" si="3"/>
        <v>11</v>
      </c>
      <c r="BF3" s="109">
        <f t="shared" si="3"/>
        <v>6</v>
      </c>
      <c r="BG3" s="109">
        <f t="shared" si="3"/>
        <v>15</v>
      </c>
      <c r="BH3" s="109">
        <f t="shared" si="3"/>
        <v>12</v>
      </c>
      <c r="BI3" s="109">
        <f t="shared" si="3"/>
        <v>6</v>
      </c>
      <c r="BJ3" s="109">
        <f t="shared" si="3"/>
        <v>7</v>
      </c>
      <c r="BK3" s="109">
        <f t="shared" si="3"/>
        <v>4</v>
      </c>
      <c r="BL3" s="109">
        <f t="shared" si="3"/>
        <v>8</v>
      </c>
      <c r="BM3" s="109">
        <f t="shared" si="3"/>
        <v>13</v>
      </c>
      <c r="BN3" s="110">
        <f t="shared" si="3"/>
        <v>12</v>
      </c>
      <c r="BR3" s="149">
        <f>SUM(BR5:BR54)</f>
        <v>118.75</v>
      </c>
      <c r="BS3" s="149">
        <f>SUM(BS5:BS54)</f>
        <v>671.71</v>
      </c>
      <c r="BT3" s="149">
        <f>SUM(BT5:BT54)</f>
        <v>354.85</v>
      </c>
      <c r="BU3" s="149">
        <f>SUM(BU5:BU54)</f>
        <v>209.82999999999998</v>
      </c>
      <c r="BV3" s="152"/>
      <c r="BW3" s="149">
        <f>SUM(BW5:BW54)</f>
        <v>63</v>
      </c>
      <c r="BX3" s="149">
        <f aca="true" t="shared" si="4" ref="BX3:CD3">SUM(BX5:BX54)</f>
        <v>62.72</v>
      </c>
      <c r="BY3" s="149">
        <f t="shared" si="4"/>
        <v>508.9</v>
      </c>
      <c r="BZ3" s="149">
        <f t="shared" si="4"/>
        <v>78.6</v>
      </c>
      <c r="CA3" s="149">
        <f t="shared" si="4"/>
        <v>6</v>
      </c>
      <c r="CB3" s="149">
        <f t="shared" si="4"/>
        <v>133</v>
      </c>
      <c r="CC3" s="149">
        <f t="shared" si="4"/>
        <v>0</v>
      </c>
      <c r="CD3" s="149">
        <f t="shared" si="4"/>
        <v>108.78</v>
      </c>
    </row>
    <row r="4" spans="48:66" ht="4.5" customHeight="1">
      <c r="AV4" s="111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3"/>
    </row>
    <row r="5" spans="1:83" ht="138.75" customHeight="1" thickBot="1">
      <c r="A5" s="61"/>
      <c r="B5" s="78" t="s">
        <v>1</v>
      </c>
      <c r="C5" s="79" t="s">
        <v>9</v>
      </c>
      <c r="D5" s="80" t="s">
        <v>11</v>
      </c>
      <c r="E5" s="80" t="s">
        <v>98</v>
      </c>
      <c r="F5" s="81" t="s">
        <v>99</v>
      </c>
      <c r="G5" s="157" t="s">
        <v>100</v>
      </c>
      <c r="H5" s="158" t="s">
        <v>3</v>
      </c>
      <c r="I5" s="85" t="s">
        <v>111</v>
      </c>
      <c r="J5" s="82" t="s">
        <v>26</v>
      </c>
      <c r="K5" s="82" t="s">
        <v>15</v>
      </c>
      <c r="L5" s="83" t="s">
        <v>32</v>
      </c>
      <c r="M5" s="83" t="s">
        <v>34</v>
      </c>
      <c r="N5" s="83" t="s">
        <v>35</v>
      </c>
      <c r="O5" s="83" t="s">
        <v>361</v>
      </c>
      <c r="P5" s="84" t="s">
        <v>33</v>
      </c>
      <c r="Q5" s="83" t="s">
        <v>40</v>
      </c>
      <c r="R5" s="83" t="s">
        <v>41</v>
      </c>
      <c r="S5" s="83" t="s">
        <v>208</v>
      </c>
      <c r="T5" s="83" t="s">
        <v>42</v>
      </c>
      <c r="U5" s="85" t="s">
        <v>51</v>
      </c>
      <c r="V5" s="83" t="s">
        <v>39</v>
      </c>
      <c r="W5" s="83" t="s">
        <v>44</v>
      </c>
      <c r="X5" s="86" t="s">
        <v>43</v>
      </c>
      <c r="Y5" s="86" t="s">
        <v>45</v>
      </c>
      <c r="Z5" s="83" t="s">
        <v>46</v>
      </c>
      <c r="AA5" s="83" t="s">
        <v>47</v>
      </c>
      <c r="AB5" s="83" t="s">
        <v>48</v>
      </c>
      <c r="AC5" s="87" t="s">
        <v>49</v>
      </c>
      <c r="AD5" s="85" t="s">
        <v>50</v>
      </c>
      <c r="AE5" s="83" t="s">
        <v>53</v>
      </c>
      <c r="AF5" s="85" t="s">
        <v>52</v>
      </c>
      <c r="AG5" s="83" t="s">
        <v>54</v>
      </c>
      <c r="AH5" s="85" t="s">
        <v>55</v>
      </c>
      <c r="AI5" s="83" t="s">
        <v>56</v>
      </c>
      <c r="AJ5" s="83" t="s">
        <v>58</v>
      </c>
      <c r="AK5" s="85" t="s">
        <v>57</v>
      </c>
      <c r="AL5" s="83" t="s">
        <v>59</v>
      </c>
      <c r="AM5" s="83" t="s">
        <v>84</v>
      </c>
      <c r="AN5" s="83" t="s">
        <v>85</v>
      </c>
      <c r="AO5" s="85" t="s">
        <v>60</v>
      </c>
      <c r="AP5" s="83" t="s">
        <v>87</v>
      </c>
      <c r="AQ5" s="83" t="s">
        <v>88</v>
      </c>
      <c r="AR5" s="85" t="s">
        <v>60</v>
      </c>
      <c r="AS5" s="83" t="s">
        <v>89</v>
      </c>
      <c r="AT5" s="83" t="s">
        <v>90</v>
      </c>
      <c r="AU5" s="85" t="s">
        <v>61</v>
      </c>
      <c r="AV5" s="114" t="s">
        <v>62</v>
      </c>
      <c r="AW5" s="88" t="s">
        <v>63</v>
      </c>
      <c r="AX5" s="88" t="s">
        <v>64</v>
      </c>
      <c r="AY5" s="88" t="s">
        <v>65</v>
      </c>
      <c r="AZ5" s="83" t="s">
        <v>66</v>
      </c>
      <c r="BA5" s="89" t="s">
        <v>67</v>
      </c>
      <c r="BB5" s="89" t="s">
        <v>68</v>
      </c>
      <c r="BC5" s="90" t="s">
        <v>69</v>
      </c>
      <c r="BD5" s="90" t="s">
        <v>70</v>
      </c>
      <c r="BE5" s="83" t="s">
        <v>71</v>
      </c>
      <c r="BF5" s="83" t="s">
        <v>72</v>
      </c>
      <c r="BG5" s="91" t="s">
        <v>73</v>
      </c>
      <c r="BH5" s="91" t="s">
        <v>74</v>
      </c>
      <c r="BI5" s="83" t="s">
        <v>75</v>
      </c>
      <c r="BJ5" s="83" t="s">
        <v>76</v>
      </c>
      <c r="BK5" s="89" t="s">
        <v>77</v>
      </c>
      <c r="BL5" s="83" t="s">
        <v>78</v>
      </c>
      <c r="BM5" s="83" t="s">
        <v>79</v>
      </c>
      <c r="BN5" s="124" t="s">
        <v>80</v>
      </c>
      <c r="BO5" s="85" t="s">
        <v>81</v>
      </c>
      <c r="BP5" s="61"/>
      <c r="BR5" s="83" t="s">
        <v>209</v>
      </c>
      <c r="BS5" s="83" t="s">
        <v>210</v>
      </c>
      <c r="BT5" s="83" t="s">
        <v>211</v>
      </c>
      <c r="BU5" s="83" t="s">
        <v>212</v>
      </c>
      <c r="BV5" s="85" t="s">
        <v>51</v>
      </c>
      <c r="BW5" s="83" t="s">
        <v>39</v>
      </c>
      <c r="BX5" s="83" t="s">
        <v>44</v>
      </c>
      <c r="BY5" s="86" t="s">
        <v>43</v>
      </c>
      <c r="BZ5" s="86" t="s">
        <v>45</v>
      </c>
      <c r="CA5" s="83" t="s">
        <v>46</v>
      </c>
      <c r="CB5" s="83" t="s">
        <v>47</v>
      </c>
      <c r="CC5" s="83" t="s">
        <v>48</v>
      </c>
      <c r="CD5" s="87" t="s">
        <v>49</v>
      </c>
      <c r="CE5" s="85" t="s">
        <v>50</v>
      </c>
    </row>
    <row r="6" spans="2:83" s="146" customFormat="1" ht="33.75">
      <c r="B6" s="92" t="s">
        <v>5</v>
      </c>
      <c r="C6" s="94" t="s">
        <v>267</v>
      </c>
      <c r="D6" s="7">
        <v>1</v>
      </c>
      <c r="E6" s="7">
        <v>2</v>
      </c>
      <c r="F6" s="25">
        <v>0</v>
      </c>
      <c r="G6" s="27" t="s">
        <v>36</v>
      </c>
      <c r="H6" s="25">
        <v>0</v>
      </c>
      <c r="I6" s="12"/>
      <c r="J6" s="8" t="s">
        <v>219</v>
      </c>
      <c r="K6" s="8" t="s">
        <v>220</v>
      </c>
      <c r="L6" s="9">
        <v>185</v>
      </c>
      <c r="M6" s="9">
        <v>3</v>
      </c>
      <c r="N6" s="9">
        <v>7</v>
      </c>
      <c r="O6" s="162">
        <f>RANK(N6,N$6:N$26,)</f>
        <v>20</v>
      </c>
      <c r="P6" s="10">
        <f aca="true" t="shared" si="5" ref="P6:P50">IF(SUM(M6:N6)=0,"",SUM(M6:N6)/L6)</f>
        <v>0.05405405405405406</v>
      </c>
      <c r="Q6" s="11">
        <v>0.3</v>
      </c>
      <c r="R6" s="11">
        <v>0.42</v>
      </c>
      <c r="S6" s="11"/>
      <c r="T6" s="11">
        <v>0.5</v>
      </c>
      <c r="U6" s="12"/>
      <c r="V6" s="13">
        <v>1</v>
      </c>
      <c r="W6" s="13"/>
      <c r="X6" s="14"/>
      <c r="Y6" s="14"/>
      <c r="Z6" s="13"/>
      <c r="AA6" s="13"/>
      <c r="AB6" s="13"/>
      <c r="AC6" s="15"/>
      <c r="AD6" s="12" t="s">
        <v>6</v>
      </c>
      <c r="AE6" s="16">
        <v>0</v>
      </c>
      <c r="AF6" s="12" t="s">
        <v>6</v>
      </c>
      <c r="AG6" s="16" t="s">
        <v>91</v>
      </c>
      <c r="AH6" s="12"/>
      <c r="AI6" s="13">
        <v>1</v>
      </c>
      <c r="AJ6" s="17" t="s">
        <v>92</v>
      </c>
      <c r="AK6" s="12" t="s">
        <v>93</v>
      </c>
      <c r="AL6" s="13">
        <v>0.25</v>
      </c>
      <c r="AM6" s="17" t="s">
        <v>93</v>
      </c>
      <c r="AN6" s="16" t="s">
        <v>93</v>
      </c>
      <c r="AO6" s="12"/>
      <c r="AP6" s="19">
        <v>0</v>
      </c>
      <c r="AQ6" s="18" t="s">
        <v>37</v>
      </c>
      <c r="AR6" s="42" t="s">
        <v>37</v>
      </c>
      <c r="AS6" s="19">
        <v>0</v>
      </c>
      <c r="AT6" s="43" t="s">
        <v>37</v>
      </c>
      <c r="AU6" s="42" t="s">
        <v>37</v>
      </c>
      <c r="AV6" s="115">
        <v>1</v>
      </c>
      <c r="AW6" s="19">
        <v>1</v>
      </c>
      <c r="AX6" s="19">
        <v>1</v>
      </c>
      <c r="AY6" s="19">
        <v>1</v>
      </c>
      <c r="AZ6" s="16">
        <v>1</v>
      </c>
      <c r="BA6" s="20">
        <v>1</v>
      </c>
      <c r="BB6" s="20"/>
      <c r="BC6" s="21"/>
      <c r="BD6" s="21"/>
      <c r="BE6" s="16">
        <v>1</v>
      </c>
      <c r="BF6" s="16"/>
      <c r="BG6" s="22"/>
      <c r="BH6" s="22"/>
      <c r="BI6" s="16"/>
      <c r="BJ6" s="16"/>
      <c r="BK6" s="20"/>
      <c r="BL6" s="16"/>
      <c r="BM6" s="16">
        <v>1</v>
      </c>
      <c r="BN6" s="125"/>
      <c r="BO6" s="42" t="s">
        <v>37</v>
      </c>
      <c r="BP6" s="7"/>
      <c r="BQ6" s="6"/>
      <c r="BR6" s="147">
        <f>IF(Q6="","",Q6*$N6)</f>
        <v>2.1</v>
      </c>
      <c r="BS6" s="147">
        <f>IF(R6="","",R6*$N6)</f>
        <v>2.94</v>
      </c>
      <c r="BT6" s="147">
        <f>IF(S6="","",S6*$N6)</f>
      </c>
      <c r="BU6" s="147">
        <f>IF(T6="","",T6*$N6)</f>
        <v>3.5</v>
      </c>
      <c r="BV6" s="148"/>
      <c r="BW6" s="149">
        <f aca="true" t="shared" si="6" ref="BW6:CD6">IF(V6="","",V6*$N6)</f>
        <v>7</v>
      </c>
      <c r="BX6" s="149">
        <f t="shared" si="6"/>
      </c>
      <c r="BY6" s="150">
        <f t="shared" si="6"/>
      </c>
      <c r="BZ6" s="150">
        <f t="shared" si="6"/>
      </c>
      <c r="CA6" s="149">
        <f t="shared" si="6"/>
      </c>
      <c r="CB6" s="149">
        <f t="shared" si="6"/>
      </c>
      <c r="CC6" s="149">
        <f t="shared" si="6"/>
      </c>
      <c r="CD6" s="151">
        <f t="shared" si="6"/>
      </c>
      <c r="CE6" s="12" t="s">
        <v>6</v>
      </c>
    </row>
    <row r="7" spans="2:83" s="146" customFormat="1" ht="33.75">
      <c r="B7" s="93" t="s">
        <v>29</v>
      </c>
      <c r="C7" s="94" t="s">
        <v>267</v>
      </c>
      <c r="D7" s="26">
        <v>1</v>
      </c>
      <c r="E7" s="26">
        <v>3</v>
      </c>
      <c r="F7" s="25">
        <v>0</v>
      </c>
      <c r="G7" s="27" t="s">
        <v>36</v>
      </c>
      <c r="H7" s="25">
        <v>0</v>
      </c>
      <c r="I7" s="32"/>
      <c r="J7" s="28" t="s">
        <v>234</v>
      </c>
      <c r="K7" s="140"/>
      <c r="L7" s="29">
        <v>270</v>
      </c>
      <c r="M7" s="29">
        <v>2</v>
      </c>
      <c r="N7" s="29">
        <v>15</v>
      </c>
      <c r="O7" s="162">
        <f aca="true" t="shared" si="7" ref="O7:O26">RANK(N7,N$6:N$26,)</f>
        <v>16</v>
      </c>
      <c r="P7" s="30">
        <f t="shared" si="5"/>
        <v>0.06296296296296296</v>
      </c>
      <c r="Q7" s="31">
        <v>0.05</v>
      </c>
      <c r="R7" s="31"/>
      <c r="S7" s="31">
        <v>0.75</v>
      </c>
      <c r="T7" s="31">
        <v>0.1</v>
      </c>
      <c r="U7" s="32" t="s">
        <v>235</v>
      </c>
      <c r="V7" s="33">
        <v>0.8</v>
      </c>
      <c r="W7" s="33"/>
      <c r="X7" s="34"/>
      <c r="Y7" s="34"/>
      <c r="Z7" s="33"/>
      <c r="AA7" s="33"/>
      <c r="AB7" s="33"/>
      <c r="AC7" s="35"/>
      <c r="AD7" s="32" t="s">
        <v>238</v>
      </c>
      <c r="AE7" s="36">
        <v>1</v>
      </c>
      <c r="AF7" s="32" t="s">
        <v>236</v>
      </c>
      <c r="AG7" s="37" t="s">
        <v>237</v>
      </c>
      <c r="AH7" s="32"/>
      <c r="AI7" s="33">
        <v>1</v>
      </c>
      <c r="AJ7" s="37" t="s">
        <v>239</v>
      </c>
      <c r="AK7" s="32" t="s">
        <v>240</v>
      </c>
      <c r="AL7" s="33">
        <v>0.3</v>
      </c>
      <c r="AM7" s="37" t="s">
        <v>241</v>
      </c>
      <c r="AN7" s="36" t="s">
        <v>242</v>
      </c>
      <c r="AO7" s="167" t="s">
        <v>243</v>
      </c>
      <c r="AP7" s="36">
        <v>1</v>
      </c>
      <c r="AQ7" s="36">
        <v>3</v>
      </c>
      <c r="AR7" s="167" t="s">
        <v>244</v>
      </c>
      <c r="AS7" s="36">
        <v>1</v>
      </c>
      <c r="AT7" s="36">
        <v>25</v>
      </c>
      <c r="AU7" s="32" t="s">
        <v>245</v>
      </c>
      <c r="AV7" s="116">
        <v>1</v>
      </c>
      <c r="AW7" s="38">
        <v>1</v>
      </c>
      <c r="AX7" s="38">
        <v>1</v>
      </c>
      <c r="AY7" s="38"/>
      <c r="AZ7" s="36">
        <v>1</v>
      </c>
      <c r="BA7" s="39">
        <v>1</v>
      </c>
      <c r="BB7" s="39"/>
      <c r="BC7" s="40"/>
      <c r="BD7" s="40"/>
      <c r="BE7" s="36"/>
      <c r="BF7" s="36"/>
      <c r="BG7" s="41"/>
      <c r="BH7" s="41"/>
      <c r="BI7" s="36"/>
      <c r="BJ7" s="36"/>
      <c r="BK7" s="39"/>
      <c r="BL7" s="36">
        <v>1</v>
      </c>
      <c r="BM7" s="36">
        <v>1</v>
      </c>
      <c r="BN7" s="126">
        <v>1</v>
      </c>
      <c r="BO7" s="42" t="s">
        <v>37</v>
      </c>
      <c r="BP7" s="26"/>
      <c r="BQ7" s="6"/>
      <c r="BR7" s="147">
        <f aca="true" t="shared" si="8" ref="BR7:BR52">IF(Q7="","",Q7*$N7)</f>
        <v>0.75</v>
      </c>
      <c r="BS7" s="147">
        <f aca="true" t="shared" si="9" ref="BS7:BT52">IF(R7="","",R7*$N7)</f>
      </c>
      <c r="BT7" s="147">
        <f t="shared" si="9"/>
        <v>11.25</v>
      </c>
      <c r="BU7" s="147">
        <f aca="true" t="shared" si="10" ref="BU7:BU52">IF(T7="","",T7*$N7)</f>
        <v>1.5</v>
      </c>
      <c r="BV7" s="148"/>
      <c r="BW7" s="149">
        <f aca="true" t="shared" si="11" ref="BW7:BW52">IF(V7="","",V7*$N7)</f>
        <v>12</v>
      </c>
      <c r="BX7" s="149">
        <f aca="true" t="shared" si="12" ref="BX7:BX52">IF(W7="","",W7*$N7)</f>
      </c>
      <c r="BY7" s="150">
        <f aca="true" t="shared" si="13" ref="BY7:BY52">IF(X7="","",X7*$N7)</f>
      </c>
      <c r="BZ7" s="150">
        <f aca="true" t="shared" si="14" ref="BZ7:BZ52">IF(Y7="","",Y7*$N7)</f>
      </c>
      <c r="CA7" s="149">
        <f aca="true" t="shared" si="15" ref="CA7:CA52">IF(Z7="","",Z7*$N7)</f>
      </c>
      <c r="CB7" s="149">
        <f aca="true" t="shared" si="16" ref="CB7:CB52">IF(AA7="","",AA7*$N7)</f>
      </c>
      <c r="CC7" s="149">
        <f aca="true" t="shared" si="17" ref="CC7:CC52">IF(AB7="","",AB7*$N7)</f>
      </c>
      <c r="CD7" s="151">
        <f aca="true" t="shared" si="18" ref="CD7:CD52">IF(AC7="","",AC7*$N7)</f>
      </c>
      <c r="CE7" s="32"/>
    </row>
    <row r="8" spans="2:83" s="146" customFormat="1" ht="24">
      <c r="B8" s="93" t="s">
        <v>144</v>
      </c>
      <c r="C8" s="94" t="s">
        <v>267</v>
      </c>
      <c r="D8" s="26">
        <v>1</v>
      </c>
      <c r="E8" s="26">
        <v>5</v>
      </c>
      <c r="F8" s="44">
        <v>1</v>
      </c>
      <c r="G8" s="155" t="s">
        <v>145</v>
      </c>
      <c r="H8" s="44">
        <v>15</v>
      </c>
      <c r="I8" s="32"/>
      <c r="J8" s="28" t="s">
        <v>152</v>
      </c>
      <c r="K8" s="140" t="s">
        <v>154</v>
      </c>
      <c r="L8" s="29">
        <v>1403</v>
      </c>
      <c r="M8" s="29">
        <v>10</v>
      </c>
      <c r="N8" s="29">
        <v>50</v>
      </c>
      <c r="O8" s="162">
        <f t="shared" si="7"/>
        <v>7</v>
      </c>
      <c r="P8" s="30">
        <f t="shared" si="5"/>
        <v>0.042765502494654314</v>
      </c>
      <c r="Q8" s="31"/>
      <c r="R8" s="31">
        <v>0.25</v>
      </c>
      <c r="S8" s="31"/>
      <c r="T8" s="31">
        <v>0.75</v>
      </c>
      <c r="U8" s="32"/>
      <c r="V8" s="33"/>
      <c r="W8" s="33">
        <v>1</v>
      </c>
      <c r="X8" s="34"/>
      <c r="Y8" s="34"/>
      <c r="Z8" s="33"/>
      <c r="AA8" s="33"/>
      <c r="AB8" s="33"/>
      <c r="AC8" s="35"/>
      <c r="AD8" s="32"/>
      <c r="AE8" s="36">
        <v>1</v>
      </c>
      <c r="AF8" s="42" t="s">
        <v>37</v>
      </c>
      <c r="AG8" s="43" t="s">
        <v>37</v>
      </c>
      <c r="AH8" s="42" t="s">
        <v>37</v>
      </c>
      <c r="AI8" s="33">
        <v>1</v>
      </c>
      <c r="AJ8" s="37" t="s">
        <v>153</v>
      </c>
      <c r="AK8" s="42" t="s">
        <v>37</v>
      </c>
      <c r="AL8" s="33">
        <v>0</v>
      </c>
      <c r="AM8" s="43" t="s">
        <v>37</v>
      </c>
      <c r="AN8" s="43" t="s">
        <v>37</v>
      </c>
      <c r="AO8" s="42" t="s">
        <v>37</v>
      </c>
      <c r="AP8" s="19">
        <v>0</v>
      </c>
      <c r="AQ8" s="43" t="s">
        <v>37</v>
      </c>
      <c r="AR8" s="42" t="s">
        <v>37</v>
      </c>
      <c r="AS8" s="16">
        <v>1</v>
      </c>
      <c r="AT8" s="36">
        <v>2</v>
      </c>
      <c r="AU8" s="42">
        <v>1</v>
      </c>
      <c r="AV8" s="116">
        <v>1</v>
      </c>
      <c r="AW8" s="38">
        <v>1</v>
      </c>
      <c r="AX8" s="38"/>
      <c r="AY8" s="38"/>
      <c r="AZ8" s="36">
        <v>1</v>
      </c>
      <c r="BA8" s="39"/>
      <c r="BB8" s="39"/>
      <c r="BC8" s="40">
        <v>1</v>
      </c>
      <c r="BD8" s="40"/>
      <c r="BE8" s="36"/>
      <c r="BF8" s="36"/>
      <c r="BG8" s="41">
        <v>1</v>
      </c>
      <c r="BH8" s="41">
        <v>1</v>
      </c>
      <c r="BI8" s="36"/>
      <c r="BJ8" s="36"/>
      <c r="BK8" s="39"/>
      <c r="BL8" s="36">
        <v>1</v>
      </c>
      <c r="BM8" s="36"/>
      <c r="BN8" s="126">
        <v>1</v>
      </c>
      <c r="BO8" s="42"/>
      <c r="BP8" s="26"/>
      <c r="BQ8" s="6"/>
      <c r="BR8" s="147">
        <f t="shared" si="8"/>
      </c>
      <c r="BS8" s="147">
        <f t="shared" si="9"/>
        <v>12.5</v>
      </c>
      <c r="BT8" s="147">
        <f t="shared" si="9"/>
      </c>
      <c r="BU8" s="147">
        <f t="shared" si="10"/>
        <v>37.5</v>
      </c>
      <c r="BV8" s="148"/>
      <c r="BW8" s="149">
        <f t="shared" si="11"/>
      </c>
      <c r="BX8" s="149">
        <f t="shared" si="12"/>
        <v>50</v>
      </c>
      <c r="BY8" s="150">
        <f t="shared" si="13"/>
      </c>
      <c r="BZ8" s="150">
        <f t="shared" si="14"/>
      </c>
      <c r="CA8" s="149">
        <f t="shared" si="15"/>
      </c>
      <c r="CB8" s="149">
        <f t="shared" si="16"/>
      </c>
      <c r="CC8" s="149">
        <f t="shared" si="17"/>
      </c>
      <c r="CD8" s="151">
        <f t="shared" si="18"/>
      </c>
      <c r="CE8" s="32"/>
    </row>
    <row r="9" spans="2:83" s="146" customFormat="1" ht="63" customHeight="1">
      <c r="B9" s="93" t="s">
        <v>178</v>
      </c>
      <c r="C9" s="94" t="s">
        <v>267</v>
      </c>
      <c r="D9" s="26">
        <v>1</v>
      </c>
      <c r="E9" s="26">
        <v>4</v>
      </c>
      <c r="F9" s="44">
        <v>1</v>
      </c>
      <c r="G9" s="156" t="s">
        <v>179</v>
      </c>
      <c r="H9" s="44">
        <v>15</v>
      </c>
      <c r="I9" s="32"/>
      <c r="J9" s="28"/>
      <c r="K9" s="140"/>
      <c r="L9" s="29">
        <v>184</v>
      </c>
      <c r="M9" s="29">
        <v>1</v>
      </c>
      <c r="N9" s="29">
        <v>20</v>
      </c>
      <c r="O9" s="162">
        <f t="shared" si="7"/>
        <v>15</v>
      </c>
      <c r="P9" s="30">
        <f t="shared" si="5"/>
        <v>0.11413043478260869</v>
      </c>
      <c r="Q9" s="31">
        <v>0.6</v>
      </c>
      <c r="R9" s="31"/>
      <c r="S9" s="31"/>
      <c r="T9" s="31">
        <v>0.4</v>
      </c>
      <c r="U9" s="42"/>
      <c r="V9" s="33"/>
      <c r="W9" s="33"/>
      <c r="X9" s="34">
        <v>1</v>
      </c>
      <c r="Y9" s="34"/>
      <c r="Z9" s="33"/>
      <c r="AA9" s="33"/>
      <c r="AB9" s="33"/>
      <c r="AC9" s="35"/>
      <c r="AD9" s="32"/>
      <c r="AE9" s="36">
        <v>1</v>
      </c>
      <c r="AF9" s="32" t="s">
        <v>135</v>
      </c>
      <c r="AG9" s="37" t="s">
        <v>180</v>
      </c>
      <c r="AH9" s="42"/>
      <c r="AI9" s="33">
        <v>0.5</v>
      </c>
      <c r="AJ9" s="37" t="s">
        <v>181</v>
      </c>
      <c r="AK9" s="42" t="s">
        <v>37</v>
      </c>
      <c r="AL9" s="33">
        <v>0.28</v>
      </c>
      <c r="AM9" s="36" t="s">
        <v>182</v>
      </c>
      <c r="AN9" s="36" t="s">
        <v>183</v>
      </c>
      <c r="AO9" s="42" t="s">
        <v>37</v>
      </c>
      <c r="AP9" s="16">
        <v>1</v>
      </c>
      <c r="AQ9" s="36">
        <v>1</v>
      </c>
      <c r="AR9" s="32" t="s">
        <v>184</v>
      </c>
      <c r="AS9" s="19">
        <v>0</v>
      </c>
      <c r="AT9" s="43" t="s">
        <v>37</v>
      </c>
      <c r="AU9" s="32" t="s">
        <v>185</v>
      </c>
      <c r="AV9" s="116"/>
      <c r="AW9" s="38">
        <v>1</v>
      </c>
      <c r="AX9" s="38">
        <v>1</v>
      </c>
      <c r="AY9" s="38"/>
      <c r="AZ9" s="36">
        <v>1</v>
      </c>
      <c r="BA9" s="39"/>
      <c r="BB9" s="39"/>
      <c r="BC9" s="40">
        <v>1</v>
      </c>
      <c r="BD9" s="40">
        <v>1</v>
      </c>
      <c r="BE9" s="36">
        <v>1</v>
      </c>
      <c r="BF9" s="36">
        <v>1</v>
      </c>
      <c r="BG9" s="41">
        <v>1</v>
      </c>
      <c r="BH9" s="41"/>
      <c r="BI9" s="36"/>
      <c r="BJ9" s="36"/>
      <c r="BK9" s="39"/>
      <c r="BL9" s="36"/>
      <c r="BM9" s="36">
        <v>1</v>
      </c>
      <c r="BN9" s="126">
        <v>1</v>
      </c>
      <c r="BO9" s="32"/>
      <c r="BP9" s="26"/>
      <c r="BQ9" s="6"/>
      <c r="BR9" s="147">
        <f t="shared" si="8"/>
        <v>12</v>
      </c>
      <c r="BS9" s="147">
        <f t="shared" si="9"/>
      </c>
      <c r="BT9" s="147">
        <f t="shared" si="9"/>
      </c>
      <c r="BU9" s="147">
        <f t="shared" si="10"/>
        <v>8</v>
      </c>
      <c r="BV9" s="148"/>
      <c r="BW9" s="149">
        <f t="shared" si="11"/>
      </c>
      <c r="BX9" s="149">
        <f t="shared" si="12"/>
      </c>
      <c r="BY9" s="150">
        <f t="shared" si="13"/>
        <v>20</v>
      </c>
      <c r="BZ9" s="150">
        <f t="shared" si="14"/>
      </c>
      <c r="CA9" s="149">
        <f t="shared" si="15"/>
      </c>
      <c r="CB9" s="149">
        <f t="shared" si="16"/>
      </c>
      <c r="CC9" s="149">
        <f t="shared" si="17"/>
      </c>
      <c r="CD9" s="151">
        <f t="shared" si="18"/>
      </c>
      <c r="CE9" s="32"/>
    </row>
    <row r="10" spans="2:83" s="146" customFormat="1" ht="78.75">
      <c r="B10" s="93" t="s">
        <v>165</v>
      </c>
      <c r="C10" s="94" t="s">
        <v>267</v>
      </c>
      <c r="D10" s="26">
        <v>1</v>
      </c>
      <c r="E10" s="170">
        <v>0</v>
      </c>
      <c r="F10" s="25">
        <v>0</v>
      </c>
      <c r="G10" s="27" t="s">
        <v>36</v>
      </c>
      <c r="H10" s="25">
        <v>0</v>
      </c>
      <c r="I10" s="32"/>
      <c r="J10" s="28" t="s">
        <v>166</v>
      </c>
      <c r="K10" s="140"/>
      <c r="L10" s="29">
        <v>289</v>
      </c>
      <c r="M10" s="29">
        <v>6</v>
      </c>
      <c r="N10" s="29">
        <v>80</v>
      </c>
      <c r="O10" s="162">
        <f t="shared" si="7"/>
        <v>3</v>
      </c>
      <c r="P10" s="30">
        <f>IF(SUM(M10:N10)=0,"",SUM(M10:N10)/L10)</f>
        <v>0.2975778546712803</v>
      </c>
      <c r="Q10" s="31">
        <v>0.4</v>
      </c>
      <c r="R10" s="31">
        <v>0.4</v>
      </c>
      <c r="S10" s="31"/>
      <c r="T10" s="31">
        <v>0.2</v>
      </c>
      <c r="U10" s="42" t="s">
        <v>264</v>
      </c>
      <c r="V10" s="33"/>
      <c r="W10" s="33"/>
      <c r="X10" s="34"/>
      <c r="Y10" s="34">
        <v>0.6</v>
      </c>
      <c r="Z10" s="33"/>
      <c r="AA10" s="33"/>
      <c r="AB10" s="33"/>
      <c r="AC10" s="35">
        <v>0.4</v>
      </c>
      <c r="AD10" s="32"/>
      <c r="AE10" s="36">
        <v>1</v>
      </c>
      <c r="AF10" s="32" t="s">
        <v>168</v>
      </c>
      <c r="AG10" s="37" t="s">
        <v>169</v>
      </c>
      <c r="AH10" s="42"/>
      <c r="AI10" s="33">
        <v>0</v>
      </c>
      <c r="AJ10" s="43" t="s">
        <v>37</v>
      </c>
      <c r="AK10" s="42" t="s">
        <v>37</v>
      </c>
      <c r="AL10" s="33">
        <v>0.4</v>
      </c>
      <c r="AM10" s="36" t="s">
        <v>170</v>
      </c>
      <c r="AN10" s="36"/>
      <c r="AO10" s="42" t="s">
        <v>37</v>
      </c>
      <c r="AP10" s="19">
        <v>0</v>
      </c>
      <c r="AQ10" s="43" t="s">
        <v>37</v>
      </c>
      <c r="AR10" s="42" t="s">
        <v>37</v>
      </c>
      <c r="AS10" s="19">
        <v>0</v>
      </c>
      <c r="AT10" s="43" t="s">
        <v>37</v>
      </c>
      <c r="AU10" s="42" t="s">
        <v>37</v>
      </c>
      <c r="AV10" s="116">
        <v>1</v>
      </c>
      <c r="AW10" s="38">
        <v>1</v>
      </c>
      <c r="AX10" s="38">
        <v>1</v>
      </c>
      <c r="AY10" s="38">
        <v>1</v>
      </c>
      <c r="AZ10" s="36"/>
      <c r="BA10" s="39"/>
      <c r="BB10" s="39"/>
      <c r="BC10" s="40"/>
      <c r="BD10" s="40"/>
      <c r="BE10" s="36">
        <v>1</v>
      </c>
      <c r="BF10" s="36"/>
      <c r="BG10" s="41">
        <v>1</v>
      </c>
      <c r="BH10" s="41"/>
      <c r="BI10" s="36"/>
      <c r="BJ10" s="36"/>
      <c r="BK10" s="39"/>
      <c r="BL10" s="36"/>
      <c r="BM10" s="36"/>
      <c r="BN10" s="126"/>
      <c r="BO10" s="32" t="s">
        <v>171</v>
      </c>
      <c r="BP10" s="26"/>
      <c r="BQ10" s="6"/>
      <c r="BR10" s="147">
        <f t="shared" si="8"/>
        <v>32</v>
      </c>
      <c r="BS10" s="147">
        <f t="shared" si="9"/>
        <v>32</v>
      </c>
      <c r="BT10" s="147">
        <f t="shared" si="9"/>
      </c>
      <c r="BU10" s="147">
        <f t="shared" si="10"/>
        <v>16</v>
      </c>
      <c r="BV10" s="148"/>
      <c r="BW10" s="149">
        <f t="shared" si="11"/>
      </c>
      <c r="BX10" s="149">
        <f t="shared" si="12"/>
      </c>
      <c r="BY10" s="150">
        <f t="shared" si="13"/>
      </c>
      <c r="BZ10" s="150">
        <f t="shared" si="14"/>
        <v>48</v>
      </c>
      <c r="CA10" s="149">
        <f t="shared" si="15"/>
      </c>
      <c r="CB10" s="149">
        <f t="shared" si="16"/>
      </c>
      <c r="CC10" s="149">
        <f t="shared" si="17"/>
      </c>
      <c r="CD10" s="151">
        <f t="shared" si="18"/>
        <v>32</v>
      </c>
      <c r="CE10" s="32"/>
    </row>
    <row r="11" spans="2:83" s="146" customFormat="1" ht="33.75">
      <c r="B11" s="93" t="s">
        <v>224</v>
      </c>
      <c r="C11" s="94" t="s">
        <v>267</v>
      </c>
      <c r="D11" s="26">
        <v>1</v>
      </c>
      <c r="E11" s="26">
        <v>3</v>
      </c>
      <c r="F11" s="25">
        <v>0</v>
      </c>
      <c r="G11" s="27" t="s">
        <v>36</v>
      </c>
      <c r="H11" s="25">
        <v>0</v>
      </c>
      <c r="I11" s="32"/>
      <c r="J11" s="28" t="s">
        <v>225</v>
      </c>
      <c r="K11" s="140" t="s">
        <v>223</v>
      </c>
      <c r="L11" s="29">
        <v>694</v>
      </c>
      <c r="M11" s="29">
        <v>20</v>
      </c>
      <c r="N11" s="29">
        <v>75</v>
      </c>
      <c r="O11" s="162">
        <f t="shared" si="7"/>
        <v>5</v>
      </c>
      <c r="P11" s="30">
        <f>IF(SUM(M11:N11)=0,"",SUM(M11:N11)/L11)</f>
        <v>0.13688760806916425</v>
      </c>
      <c r="Q11" s="31"/>
      <c r="R11" s="31"/>
      <c r="S11" s="31">
        <v>1</v>
      </c>
      <c r="T11" s="31"/>
      <c r="U11" s="32" t="s">
        <v>226</v>
      </c>
      <c r="V11" s="33"/>
      <c r="W11" s="33"/>
      <c r="X11" s="34"/>
      <c r="Y11" s="34"/>
      <c r="Z11" s="33"/>
      <c r="AA11" s="33"/>
      <c r="AB11" s="33"/>
      <c r="AC11" s="35">
        <v>1</v>
      </c>
      <c r="AD11" s="32" t="s">
        <v>227</v>
      </c>
      <c r="AE11" s="36">
        <v>1</v>
      </c>
      <c r="AF11" s="32"/>
      <c r="AG11" s="37" t="s">
        <v>228</v>
      </c>
      <c r="AH11" s="42"/>
      <c r="AI11" s="33">
        <v>0</v>
      </c>
      <c r="AJ11" s="43" t="s">
        <v>37</v>
      </c>
      <c r="AK11" s="42" t="s">
        <v>37</v>
      </c>
      <c r="AL11" s="33">
        <v>0</v>
      </c>
      <c r="AM11" s="43" t="s">
        <v>37</v>
      </c>
      <c r="AN11" s="43" t="s">
        <v>37</v>
      </c>
      <c r="AO11" s="42" t="s">
        <v>37</v>
      </c>
      <c r="AP11" s="19">
        <v>0</v>
      </c>
      <c r="AQ11" s="43" t="s">
        <v>37</v>
      </c>
      <c r="AR11" s="42" t="s">
        <v>37</v>
      </c>
      <c r="AS11" s="36">
        <v>1</v>
      </c>
      <c r="AT11" s="43">
        <v>12</v>
      </c>
      <c r="AU11" s="32" t="s">
        <v>229</v>
      </c>
      <c r="AV11" s="116"/>
      <c r="AW11" s="38"/>
      <c r="AX11" s="38"/>
      <c r="AY11" s="38"/>
      <c r="AZ11" s="36"/>
      <c r="BA11" s="39"/>
      <c r="BB11" s="39"/>
      <c r="BC11" s="40"/>
      <c r="BD11" s="40"/>
      <c r="BE11" s="36"/>
      <c r="BF11" s="36"/>
      <c r="BG11" s="41"/>
      <c r="BH11" s="41"/>
      <c r="BI11" s="36"/>
      <c r="BJ11" s="36"/>
      <c r="BK11" s="39"/>
      <c r="BL11" s="36"/>
      <c r="BM11" s="36"/>
      <c r="BN11" s="126"/>
      <c r="BO11" s="32"/>
      <c r="BP11" s="26"/>
      <c r="BQ11" s="6"/>
      <c r="BR11" s="147"/>
      <c r="BS11" s="147">
        <f t="shared" si="9"/>
      </c>
      <c r="BT11" s="147">
        <f t="shared" si="9"/>
        <v>75</v>
      </c>
      <c r="BU11" s="147"/>
      <c r="BV11" s="148"/>
      <c r="BW11" s="149">
        <f t="shared" si="11"/>
      </c>
      <c r="BX11" s="149">
        <f t="shared" si="12"/>
      </c>
      <c r="BY11" s="150">
        <f t="shared" si="13"/>
      </c>
      <c r="BZ11" s="150"/>
      <c r="CA11" s="149">
        <f t="shared" si="15"/>
      </c>
      <c r="CB11" s="149">
        <f t="shared" si="16"/>
      </c>
      <c r="CC11" s="149">
        <f t="shared" si="17"/>
      </c>
      <c r="CD11" s="151"/>
      <c r="CE11" s="32"/>
    </row>
    <row r="12" spans="2:83" s="146" customFormat="1" ht="22.5">
      <c r="B12" s="93" t="s">
        <v>198</v>
      </c>
      <c r="C12" s="94" t="s">
        <v>267</v>
      </c>
      <c r="D12" s="26">
        <v>1</v>
      </c>
      <c r="E12" s="26">
        <v>2</v>
      </c>
      <c r="F12" s="25">
        <v>0</v>
      </c>
      <c r="G12" s="27" t="s">
        <v>36</v>
      </c>
      <c r="H12" s="25">
        <v>0</v>
      </c>
      <c r="I12" s="32"/>
      <c r="J12" s="28"/>
      <c r="K12" s="140" t="s">
        <v>199</v>
      </c>
      <c r="L12" s="29">
        <v>957</v>
      </c>
      <c r="M12" s="29">
        <v>8</v>
      </c>
      <c r="N12" s="29">
        <v>85</v>
      </c>
      <c r="O12" s="162">
        <f t="shared" si="7"/>
        <v>1</v>
      </c>
      <c r="P12" s="30">
        <f>IF(SUM(M12:N12)=0,"",SUM(M12:N12)/L12)</f>
        <v>0.09717868338557993</v>
      </c>
      <c r="Q12" s="31"/>
      <c r="R12" s="31">
        <v>1</v>
      </c>
      <c r="S12" s="31"/>
      <c r="T12" s="31"/>
      <c r="U12" s="42"/>
      <c r="V12" s="33"/>
      <c r="W12" s="33"/>
      <c r="X12" s="34">
        <v>1</v>
      </c>
      <c r="Y12" s="34"/>
      <c r="Z12" s="33"/>
      <c r="AA12" s="33"/>
      <c r="AB12" s="33"/>
      <c r="AC12" s="35"/>
      <c r="AD12" s="32"/>
      <c r="AE12" s="36">
        <v>0</v>
      </c>
      <c r="AF12" s="32" t="s">
        <v>200</v>
      </c>
      <c r="AG12" s="37" t="s">
        <v>201</v>
      </c>
      <c r="AH12" s="42"/>
      <c r="AI12" s="33">
        <v>0</v>
      </c>
      <c r="AJ12" s="43" t="s">
        <v>37</v>
      </c>
      <c r="AK12" s="42" t="s">
        <v>37</v>
      </c>
      <c r="AL12" s="33">
        <v>0</v>
      </c>
      <c r="AM12" s="43" t="s">
        <v>37</v>
      </c>
      <c r="AN12" s="43" t="s">
        <v>37</v>
      </c>
      <c r="AO12" s="42" t="s">
        <v>37</v>
      </c>
      <c r="AP12" s="19">
        <v>0</v>
      </c>
      <c r="AQ12" s="43" t="s">
        <v>37</v>
      </c>
      <c r="AR12" s="42" t="s">
        <v>37</v>
      </c>
      <c r="AS12" s="19">
        <v>0</v>
      </c>
      <c r="AT12" s="43" t="s">
        <v>37</v>
      </c>
      <c r="AU12" s="42" t="s">
        <v>37</v>
      </c>
      <c r="AV12" s="116"/>
      <c r="AW12" s="38">
        <v>1</v>
      </c>
      <c r="AX12" s="38"/>
      <c r="AY12" s="38"/>
      <c r="AZ12" s="36"/>
      <c r="BA12" s="39"/>
      <c r="BB12" s="39"/>
      <c r="BC12" s="40">
        <v>1</v>
      </c>
      <c r="BD12" s="40">
        <v>1</v>
      </c>
      <c r="BE12" s="36">
        <v>1</v>
      </c>
      <c r="BF12" s="36"/>
      <c r="BG12" s="41"/>
      <c r="BH12" s="41">
        <v>1</v>
      </c>
      <c r="BI12" s="36">
        <v>1</v>
      </c>
      <c r="BJ12" s="36"/>
      <c r="BK12" s="39"/>
      <c r="BL12" s="36">
        <v>1</v>
      </c>
      <c r="BM12" s="36"/>
      <c r="BN12" s="126"/>
      <c r="BO12" s="32"/>
      <c r="BP12" s="26"/>
      <c r="BQ12" s="6"/>
      <c r="BR12" s="147">
        <f t="shared" si="8"/>
      </c>
      <c r="BS12" s="147">
        <f t="shared" si="9"/>
        <v>85</v>
      </c>
      <c r="BT12" s="147">
        <f t="shared" si="9"/>
      </c>
      <c r="BU12" s="147">
        <f t="shared" si="10"/>
      </c>
      <c r="BV12" s="148"/>
      <c r="BW12" s="149">
        <f t="shared" si="11"/>
      </c>
      <c r="BX12" s="149">
        <f t="shared" si="12"/>
      </c>
      <c r="BY12" s="150">
        <f t="shared" si="13"/>
        <v>85</v>
      </c>
      <c r="BZ12" s="150">
        <f t="shared" si="14"/>
      </c>
      <c r="CA12" s="149">
        <f t="shared" si="15"/>
      </c>
      <c r="CB12" s="149">
        <f t="shared" si="16"/>
      </c>
      <c r="CC12" s="149">
        <f t="shared" si="17"/>
      </c>
      <c r="CD12" s="151">
        <f t="shared" si="18"/>
      </c>
      <c r="CE12" s="32"/>
    </row>
    <row r="13" spans="2:83" s="146" customFormat="1" ht="12.75">
      <c r="B13" s="93" t="s">
        <v>8</v>
      </c>
      <c r="C13" s="94" t="s">
        <v>267</v>
      </c>
      <c r="D13" s="26">
        <v>1</v>
      </c>
      <c r="E13" s="170">
        <v>1</v>
      </c>
      <c r="F13" s="25">
        <v>0</v>
      </c>
      <c r="G13" s="27" t="s">
        <v>36</v>
      </c>
      <c r="H13" s="25">
        <v>0</v>
      </c>
      <c r="I13" s="32"/>
      <c r="J13" s="27" t="s">
        <v>36</v>
      </c>
      <c r="K13" s="140" t="s">
        <v>254</v>
      </c>
      <c r="L13" s="29">
        <v>150</v>
      </c>
      <c r="M13" s="29">
        <v>9</v>
      </c>
      <c r="N13" s="29">
        <v>15</v>
      </c>
      <c r="O13" s="162">
        <f t="shared" si="7"/>
        <v>16</v>
      </c>
      <c r="P13" s="30">
        <f t="shared" si="5"/>
        <v>0.16</v>
      </c>
      <c r="Q13" s="31">
        <v>0.1</v>
      </c>
      <c r="R13" s="31"/>
      <c r="S13" s="31"/>
      <c r="T13" s="31">
        <v>0.9</v>
      </c>
      <c r="U13" s="32"/>
      <c r="V13" s="33">
        <v>0.8</v>
      </c>
      <c r="W13" s="33">
        <v>0.1</v>
      </c>
      <c r="X13" s="34">
        <v>0.1</v>
      </c>
      <c r="Y13" s="34"/>
      <c r="Z13" s="33"/>
      <c r="AA13" s="33"/>
      <c r="AB13" s="33"/>
      <c r="AC13" s="35"/>
      <c r="AD13" s="32"/>
      <c r="AE13" s="36">
        <v>1</v>
      </c>
      <c r="AF13" s="42" t="s">
        <v>37</v>
      </c>
      <c r="AG13" s="145" t="s">
        <v>197</v>
      </c>
      <c r="AH13" s="42" t="s">
        <v>37</v>
      </c>
      <c r="AI13" s="33">
        <v>1</v>
      </c>
      <c r="AJ13" s="37" t="s">
        <v>82</v>
      </c>
      <c r="AK13" s="42" t="s">
        <v>37</v>
      </c>
      <c r="AL13" s="33">
        <v>0.1</v>
      </c>
      <c r="AM13" s="37" t="s">
        <v>83</v>
      </c>
      <c r="AN13" s="37" t="s">
        <v>86</v>
      </c>
      <c r="AO13" s="42" t="s">
        <v>37</v>
      </c>
      <c r="AP13" s="19">
        <v>0</v>
      </c>
      <c r="AQ13" s="43" t="s">
        <v>37</v>
      </c>
      <c r="AR13" s="42" t="s">
        <v>37</v>
      </c>
      <c r="AS13" s="19">
        <v>0</v>
      </c>
      <c r="AT13" s="43" t="s">
        <v>37</v>
      </c>
      <c r="AU13" s="42" t="s">
        <v>37</v>
      </c>
      <c r="AV13" s="116">
        <v>1</v>
      </c>
      <c r="AW13" s="38">
        <v>1</v>
      </c>
      <c r="AX13" s="38"/>
      <c r="AY13" s="38"/>
      <c r="AZ13" s="36">
        <v>1</v>
      </c>
      <c r="BA13" s="39"/>
      <c r="BB13" s="39"/>
      <c r="BC13" s="40">
        <v>1</v>
      </c>
      <c r="BD13" s="40"/>
      <c r="BE13" s="36">
        <v>1</v>
      </c>
      <c r="BF13" s="36"/>
      <c r="BG13" s="41"/>
      <c r="BH13" s="41"/>
      <c r="BI13" s="36"/>
      <c r="BJ13" s="36"/>
      <c r="BK13" s="39"/>
      <c r="BL13" s="36"/>
      <c r="BM13" s="36"/>
      <c r="BN13" s="126"/>
      <c r="BO13" s="42" t="s">
        <v>37</v>
      </c>
      <c r="BP13" s="26"/>
      <c r="BQ13" s="6"/>
      <c r="BR13" s="147">
        <f t="shared" si="8"/>
        <v>1.5</v>
      </c>
      <c r="BS13" s="147">
        <f t="shared" si="9"/>
      </c>
      <c r="BT13" s="147">
        <f t="shared" si="9"/>
      </c>
      <c r="BU13" s="147">
        <f t="shared" si="10"/>
        <v>13.5</v>
      </c>
      <c r="BV13" s="148"/>
      <c r="BW13" s="149">
        <f t="shared" si="11"/>
        <v>12</v>
      </c>
      <c r="BX13" s="149">
        <f t="shared" si="12"/>
        <v>1.5</v>
      </c>
      <c r="BY13" s="150">
        <f t="shared" si="13"/>
        <v>1.5</v>
      </c>
      <c r="BZ13" s="150">
        <f t="shared" si="14"/>
      </c>
      <c r="CA13" s="149">
        <f t="shared" si="15"/>
      </c>
      <c r="CB13" s="149">
        <f t="shared" si="16"/>
      </c>
      <c r="CC13" s="149">
        <f t="shared" si="17"/>
      </c>
      <c r="CD13" s="151">
        <f t="shared" si="18"/>
      </c>
      <c r="CE13" s="32"/>
    </row>
    <row r="14" spans="2:83" s="146" customFormat="1" ht="56.25">
      <c r="B14" s="93" t="s">
        <v>2</v>
      </c>
      <c r="C14" s="94" t="s">
        <v>267</v>
      </c>
      <c r="D14" s="26">
        <v>1</v>
      </c>
      <c r="E14" s="142">
        <v>3</v>
      </c>
      <c r="F14" s="44">
        <v>1</v>
      </c>
      <c r="G14" s="155" t="s">
        <v>202</v>
      </c>
      <c r="H14" s="44">
        <v>20</v>
      </c>
      <c r="I14" s="32"/>
      <c r="J14" s="28" t="s">
        <v>4</v>
      </c>
      <c r="K14" s="27" t="s">
        <v>36</v>
      </c>
      <c r="L14" s="46">
        <v>767</v>
      </c>
      <c r="M14" s="46">
        <v>3</v>
      </c>
      <c r="N14" s="46">
        <v>62</v>
      </c>
      <c r="O14" s="162">
        <f t="shared" si="7"/>
        <v>6</v>
      </c>
      <c r="P14" s="30">
        <f t="shared" si="5"/>
        <v>0.0847457627118644</v>
      </c>
      <c r="Q14" s="31"/>
      <c r="R14" s="31"/>
      <c r="S14" s="31">
        <v>0.95</v>
      </c>
      <c r="T14" s="31">
        <v>0.05</v>
      </c>
      <c r="U14" s="143" t="s">
        <v>203</v>
      </c>
      <c r="V14" s="33"/>
      <c r="W14" s="33"/>
      <c r="X14" s="34">
        <v>1</v>
      </c>
      <c r="Y14" s="34"/>
      <c r="Z14" s="33"/>
      <c r="AA14" s="33"/>
      <c r="AB14" s="33"/>
      <c r="AC14" s="35"/>
      <c r="AD14" s="32"/>
      <c r="AE14" s="36">
        <v>1</v>
      </c>
      <c r="AF14" s="42" t="s">
        <v>37</v>
      </c>
      <c r="AG14" s="37" t="s">
        <v>204</v>
      </c>
      <c r="AH14" s="32"/>
      <c r="AI14" s="33">
        <v>1</v>
      </c>
      <c r="AJ14" s="37" t="s">
        <v>205</v>
      </c>
      <c r="AK14" s="32"/>
      <c r="AL14" s="33">
        <v>0.03</v>
      </c>
      <c r="AM14" s="37" t="s">
        <v>205</v>
      </c>
      <c r="AN14" s="143" t="s">
        <v>206</v>
      </c>
      <c r="AO14" s="32"/>
      <c r="AP14" s="19">
        <v>0</v>
      </c>
      <c r="AQ14" s="43" t="s">
        <v>37</v>
      </c>
      <c r="AR14" s="42" t="s">
        <v>37</v>
      </c>
      <c r="AS14" s="36">
        <v>1</v>
      </c>
      <c r="AT14" s="36">
        <v>31</v>
      </c>
      <c r="AU14" s="32"/>
      <c r="AV14" s="116"/>
      <c r="AW14" s="38"/>
      <c r="AX14" s="38"/>
      <c r="AY14" s="38"/>
      <c r="AZ14" s="36">
        <v>1</v>
      </c>
      <c r="BA14" s="39"/>
      <c r="BB14" s="39"/>
      <c r="BC14" s="40">
        <v>1</v>
      </c>
      <c r="BD14" s="40"/>
      <c r="BE14" s="36"/>
      <c r="BF14" s="36">
        <v>1</v>
      </c>
      <c r="BG14" s="41"/>
      <c r="BH14" s="41">
        <v>1</v>
      </c>
      <c r="BI14" s="36"/>
      <c r="BJ14" s="36"/>
      <c r="BK14" s="39"/>
      <c r="BL14" s="36">
        <v>1</v>
      </c>
      <c r="BM14" s="36"/>
      <c r="BN14" s="126">
        <v>1</v>
      </c>
      <c r="BO14" s="42" t="s">
        <v>37</v>
      </c>
      <c r="BP14" s="26"/>
      <c r="BQ14" s="6"/>
      <c r="BR14" s="147">
        <f t="shared" si="8"/>
      </c>
      <c r="BS14" s="147">
        <f t="shared" si="9"/>
      </c>
      <c r="BT14" s="147">
        <f t="shared" si="9"/>
        <v>58.9</v>
      </c>
      <c r="BU14" s="147">
        <f t="shared" si="10"/>
        <v>3.1</v>
      </c>
      <c r="BV14" s="148"/>
      <c r="BW14" s="149">
        <f t="shared" si="11"/>
      </c>
      <c r="BX14" s="149">
        <f t="shared" si="12"/>
      </c>
      <c r="BY14" s="150">
        <f t="shared" si="13"/>
        <v>62</v>
      </c>
      <c r="BZ14" s="150">
        <f t="shared" si="14"/>
      </c>
      <c r="CA14" s="149">
        <f t="shared" si="15"/>
      </c>
      <c r="CB14" s="149">
        <f t="shared" si="16"/>
      </c>
      <c r="CC14" s="149">
        <f t="shared" si="17"/>
      </c>
      <c r="CD14" s="151">
        <f t="shared" si="18"/>
      </c>
      <c r="CE14" s="32"/>
    </row>
    <row r="15" spans="2:83" s="146" customFormat="1" ht="22.5">
      <c r="B15" s="93" t="s">
        <v>232</v>
      </c>
      <c r="C15" s="94" t="s">
        <v>267</v>
      </c>
      <c r="D15" s="26">
        <v>1</v>
      </c>
      <c r="E15" s="172">
        <v>3</v>
      </c>
      <c r="F15" s="25">
        <v>0</v>
      </c>
      <c r="G15" s="155"/>
      <c r="H15" s="44"/>
      <c r="I15" s="32"/>
      <c r="J15" s="28" t="s">
        <v>233</v>
      </c>
      <c r="K15" s="27" t="s">
        <v>36</v>
      </c>
      <c r="L15" s="46">
        <v>257</v>
      </c>
      <c r="M15" s="46">
        <v>5</v>
      </c>
      <c r="N15" s="46">
        <v>10</v>
      </c>
      <c r="O15" s="162">
        <f t="shared" si="7"/>
        <v>18</v>
      </c>
      <c r="P15" s="30">
        <f>IF(SUM(M15:N15)=0,"",SUM(M15:N15)/L15)</f>
        <v>0.058365758754863814</v>
      </c>
      <c r="Q15" s="31"/>
      <c r="R15" s="31"/>
      <c r="S15" s="31"/>
      <c r="T15" s="31">
        <v>0.25</v>
      </c>
      <c r="U15" s="143" t="s">
        <v>271</v>
      </c>
      <c r="V15" s="33"/>
      <c r="W15" s="33"/>
      <c r="X15" s="34"/>
      <c r="Y15" s="34"/>
      <c r="Z15" s="33"/>
      <c r="AA15" s="33"/>
      <c r="AB15" s="33"/>
      <c r="AC15" s="35"/>
      <c r="AD15" s="32" t="s">
        <v>272</v>
      </c>
      <c r="AE15" s="36">
        <v>1</v>
      </c>
      <c r="AF15" s="42"/>
      <c r="AG15" s="37"/>
      <c r="AH15" s="32"/>
      <c r="AI15" s="33">
        <v>0</v>
      </c>
      <c r="AJ15" s="37"/>
      <c r="AK15" s="42" t="s">
        <v>37</v>
      </c>
      <c r="AL15" s="33">
        <v>0.25</v>
      </c>
      <c r="AM15" s="37" t="s">
        <v>273</v>
      </c>
      <c r="AN15" s="173" t="s">
        <v>274</v>
      </c>
      <c r="AO15" s="42" t="s">
        <v>37</v>
      </c>
      <c r="AP15" s="16">
        <v>1</v>
      </c>
      <c r="AQ15" s="43">
        <v>1</v>
      </c>
      <c r="AR15" s="32" t="s">
        <v>275</v>
      </c>
      <c r="AS15" s="38">
        <v>0</v>
      </c>
      <c r="AT15" s="43" t="s">
        <v>37</v>
      </c>
      <c r="AU15" s="42" t="s">
        <v>37</v>
      </c>
      <c r="AV15" s="116">
        <v>1</v>
      </c>
      <c r="AW15" s="38">
        <v>1</v>
      </c>
      <c r="AX15" s="38">
        <v>1</v>
      </c>
      <c r="AY15" s="38"/>
      <c r="AZ15" s="36"/>
      <c r="BA15" s="39">
        <v>1</v>
      </c>
      <c r="BB15" s="39"/>
      <c r="BC15" s="40"/>
      <c r="BD15" s="40">
        <v>1</v>
      </c>
      <c r="BE15" s="36"/>
      <c r="BF15" s="36">
        <v>1</v>
      </c>
      <c r="BG15" s="41">
        <v>1</v>
      </c>
      <c r="BH15" s="41"/>
      <c r="BI15" s="36"/>
      <c r="BJ15" s="36"/>
      <c r="BK15" s="39">
        <v>1</v>
      </c>
      <c r="BL15" s="36"/>
      <c r="BM15" s="36"/>
      <c r="BN15" s="126"/>
      <c r="BO15" s="42"/>
      <c r="BP15" s="26"/>
      <c r="BQ15" s="6"/>
      <c r="BR15" s="147">
        <f>IF(Q15="","",Q15*$N15)</f>
      </c>
      <c r="BS15" s="147">
        <f>IF(R15="","",R15*$N15)</f>
      </c>
      <c r="BT15" s="147">
        <f>IF(S15="","",S15*$N15)</f>
      </c>
      <c r="BU15" s="147">
        <f>IF(T15="","",T15*$N15)</f>
        <v>2.5</v>
      </c>
      <c r="BV15" s="148"/>
      <c r="BW15" s="149">
        <f aca="true" t="shared" si="19" ref="BW15:CD15">IF(V15="","",V15*$N15)</f>
      </c>
      <c r="BX15" s="149">
        <f t="shared" si="19"/>
      </c>
      <c r="BY15" s="150">
        <f t="shared" si="19"/>
      </c>
      <c r="BZ15" s="150">
        <f t="shared" si="19"/>
      </c>
      <c r="CA15" s="149">
        <f t="shared" si="19"/>
      </c>
      <c r="CB15" s="149">
        <f t="shared" si="19"/>
      </c>
      <c r="CC15" s="149">
        <f t="shared" si="19"/>
      </c>
      <c r="CD15" s="151">
        <f t="shared" si="19"/>
      </c>
      <c r="CE15" s="32"/>
    </row>
    <row r="16" spans="2:83" s="146" customFormat="1" ht="33.75">
      <c r="B16" s="93" t="s">
        <v>102</v>
      </c>
      <c r="C16" s="94" t="s">
        <v>267</v>
      </c>
      <c r="D16" s="26">
        <v>1</v>
      </c>
      <c r="E16" s="26">
        <v>4</v>
      </c>
      <c r="F16" s="44">
        <v>1</v>
      </c>
      <c r="G16" s="156" t="s">
        <v>101</v>
      </c>
      <c r="H16" s="44">
        <v>15</v>
      </c>
      <c r="I16" s="32"/>
      <c r="J16" s="27" t="s">
        <v>36</v>
      </c>
      <c r="K16" s="48" t="s">
        <v>143</v>
      </c>
      <c r="L16" s="29">
        <v>570</v>
      </c>
      <c r="M16" s="29"/>
      <c r="N16" s="29">
        <v>40</v>
      </c>
      <c r="O16" s="162">
        <f t="shared" si="7"/>
        <v>9</v>
      </c>
      <c r="P16" s="30">
        <f t="shared" si="5"/>
        <v>0.07017543859649122</v>
      </c>
      <c r="Q16" s="31">
        <v>0.01</v>
      </c>
      <c r="R16" s="31"/>
      <c r="S16" s="31"/>
      <c r="T16" s="31">
        <v>0.99</v>
      </c>
      <c r="U16" s="32" t="s">
        <v>117</v>
      </c>
      <c r="V16" s="33"/>
      <c r="W16" s="33"/>
      <c r="X16" s="34">
        <v>1</v>
      </c>
      <c r="Y16" s="34"/>
      <c r="Z16" s="33"/>
      <c r="AA16" s="33"/>
      <c r="AB16" s="33"/>
      <c r="AC16" s="35"/>
      <c r="AD16" s="42" t="s">
        <v>37</v>
      </c>
      <c r="AE16" s="36">
        <v>1</v>
      </c>
      <c r="AF16" s="42" t="s">
        <v>37</v>
      </c>
      <c r="AG16" s="37" t="s">
        <v>118</v>
      </c>
      <c r="AH16" s="42" t="s">
        <v>37</v>
      </c>
      <c r="AI16" s="33">
        <v>1</v>
      </c>
      <c r="AJ16" s="37" t="s">
        <v>119</v>
      </c>
      <c r="AK16" s="42" t="s">
        <v>37</v>
      </c>
      <c r="AL16" s="33">
        <v>0</v>
      </c>
      <c r="AM16" s="43" t="s">
        <v>37</v>
      </c>
      <c r="AN16" s="43" t="s">
        <v>37</v>
      </c>
      <c r="AO16" s="42" t="s">
        <v>37</v>
      </c>
      <c r="AP16" s="38">
        <v>0</v>
      </c>
      <c r="AQ16" s="43" t="s">
        <v>37</v>
      </c>
      <c r="AR16" s="42" t="s">
        <v>37</v>
      </c>
      <c r="AS16" s="16">
        <v>1</v>
      </c>
      <c r="AT16" s="43" t="s">
        <v>37</v>
      </c>
      <c r="AU16" s="32" t="s">
        <v>120</v>
      </c>
      <c r="AV16" s="116"/>
      <c r="AW16" s="38">
        <v>1</v>
      </c>
      <c r="AX16" s="38">
        <v>1</v>
      </c>
      <c r="AY16" s="38">
        <v>1</v>
      </c>
      <c r="AZ16" s="36">
        <v>1</v>
      </c>
      <c r="BA16" s="39">
        <v>1</v>
      </c>
      <c r="BB16" s="39"/>
      <c r="BC16" s="40"/>
      <c r="BD16" s="40"/>
      <c r="BE16" s="36"/>
      <c r="BF16" s="36"/>
      <c r="BG16" s="41">
        <v>1</v>
      </c>
      <c r="BH16" s="41"/>
      <c r="BI16" s="36"/>
      <c r="BJ16" s="36">
        <v>1</v>
      </c>
      <c r="BK16" s="39"/>
      <c r="BL16" s="36"/>
      <c r="BM16" s="36">
        <v>1</v>
      </c>
      <c r="BN16" s="126"/>
      <c r="BO16" s="42" t="s">
        <v>37</v>
      </c>
      <c r="BP16" s="26"/>
      <c r="BQ16" s="6"/>
      <c r="BR16" s="147">
        <f t="shared" si="8"/>
        <v>0.4</v>
      </c>
      <c r="BS16" s="147">
        <f t="shared" si="9"/>
      </c>
      <c r="BT16" s="147">
        <f t="shared" si="9"/>
      </c>
      <c r="BU16" s="147">
        <f t="shared" si="10"/>
        <v>39.6</v>
      </c>
      <c r="BV16" s="148"/>
      <c r="BW16" s="149">
        <f t="shared" si="11"/>
      </c>
      <c r="BX16" s="149">
        <f t="shared" si="12"/>
      </c>
      <c r="BY16" s="150">
        <f t="shared" si="13"/>
        <v>40</v>
      </c>
      <c r="BZ16" s="150">
        <f t="shared" si="14"/>
      </c>
      <c r="CA16" s="149">
        <f t="shared" si="15"/>
      </c>
      <c r="CB16" s="149">
        <f t="shared" si="16"/>
      </c>
      <c r="CC16" s="149">
        <f t="shared" si="17"/>
      </c>
      <c r="CD16" s="151">
        <f t="shared" si="18"/>
      </c>
      <c r="CE16" s="42" t="s">
        <v>37</v>
      </c>
    </row>
    <row r="17" spans="2:83" s="146" customFormat="1" ht="22.5">
      <c r="B17" s="165" t="s">
        <v>12</v>
      </c>
      <c r="C17" s="94" t="s">
        <v>267</v>
      </c>
      <c r="D17" s="26">
        <v>1</v>
      </c>
      <c r="E17" s="25">
        <v>0</v>
      </c>
      <c r="F17" s="25">
        <v>0</v>
      </c>
      <c r="G17" s="27" t="s">
        <v>36</v>
      </c>
      <c r="H17" s="25">
        <v>0</v>
      </c>
      <c r="I17" s="32"/>
      <c r="J17" s="27" t="s">
        <v>36</v>
      </c>
      <c r="K17" s="27" t="s">
        <v>36</v>
      </c>
      <c r="L17" s="29">
        <v>750</v>
      </c>
      <c r="M17" s="29">
        <v>2</v>
      </c>
      <c r="N17" s="29">
        <v>83</v>
      </c>
      <c r="O17" s="162">
        <f t="shared" si="7"/>
        <v>2</v>
      </c>
      <c r="P17" s="30">
        <f t="shared" si="5"/>
        <v>0.11333333333333333</v>
      </c>
      <c r="Q17" s="31"/>
      <c r="R17" s="31">
        <v>1</v>
      </c>
      <c r="S17" s="31"/>
      <c r="T17" s="31"/>
      <c r="U17" s="32" t="s">
        <v>6</v>
      </c>
      <c r="V17" s="33"/>
      <c r="W17" s="33"/>
      <c r="X17" s="34"/>
      <c r="Y17" s="34"/>
      <c r="Z17" s="33"/>
      <c r="AA17" s="33">
        <v>1</v>
      </c>
      <c r="AB17" s="33"/>
      <c r="AC17" s="35"/>
      <c r="AD17" s="42" t="s">
        <v>37</v>
      </c>
      <c r="AE17" s="36">
        <v>1</v>
      </c>
      <c r="AF17" s="42" t="s">
        <v>37</v>
      </c>
      <c r="AG17" s="43" t="s">
        <v>37</v>
      </c>
      <c r="AH17" s="42" t="s">
        <v>37</v>
      </c>
      <c r="AI17" s="33">
        <v>0.1</v>
      </c>
      <c r="AJ17" s="37" t="s">
        <v>94</v>
      </c>
      <c r="AK17" s="42" t="s">
        <v>37</v>
      </c>
      <c r="AL17" s="33">
        <v>0</v>
      </c>
      <c r="AM17" s="47" t="s">
        <v>37</v>
      </c>
      <c r="AN17" s="43" t="s">
        <v>37</v>
      </c>
      <c r="AO17" s="42" t="s">
        <v>37</v>
      </c>
      <c r="AP17" s="16">
        <v>1</v>
      </c>
      <c r="AQ17" s="36">
        <v>1</v>
      </c>
      <c r="AR17" s="32" t="s">
        <v>95</v>
      </c>
      <c r="AS17" s="38">
        <v>0</v>
      </c>
      <c r="AT17" s="43" t="s">
        <v>37</v>
      </c>
      <c r="AU17" s="42" t="s">
        <v>37</v>
      </c>
      <c r="AV17" s="116"/>
      <c r="AW17" s="38"/>
      <c r="AX17" s="38"/>
      <c r="AY17" s="38"/>
      <c r="AZ17" s="36"/>
      <c r="BA17" s="39"/>
      <c r="BB17" s="39"/>
      <c r="BC17" s="40"/>
      <c r="BD17" s="40"/>
      <c r="BE17" s="36"/>
      <c r="BF17" s="36"/>
      <c r="BG17" s="41"/>
      <c r="BH17" s="41"/>
      <c r="BI17" s="36"/>
      <c r="BJ17" s="36"/>
      <c r="BK17" s="39"/>
      <c r="BL17" s="36"/>
      <c r="BM17" s="36"/>
      <c r="BN17" s="126"/>
      <c r="BO17" s="42" t="s">
        <v>37</v>
      </c>
      <c r="BP17" s="26"/>
      <c r="BQ17" s="6"/>
      <c r="BR17" s="147">
        <f t="shared" si="8"/>
      </c>
      <c r="BS17" s="147">
        <f t="shared" si="9"/>
        <v>83</v>
      </c>
      <c r="BT17" s="147">
        <f t="shared" si="9"/>
      </c>
      <c r="BU17" s="147">
        <f t="shared" si="10"/>
      </c>
      <c r="BV17" s="148"/>
      <c r="BW17" s="149">
        <f t="shared" si="11"/>
      </c>
      <c r="BX17" s="149">
        <f t="shared" si="12"/>
      </c>
      <c r="BY17" s="150">
        <f t="shared" si="13"/>
      </c>
      <c r="BZ17" s="150">
        <f t="shared" si="14"/>
      </c>
      <c r="CA17" s="149">
        <f t="shared" si="15"/>
      </c>
      <c r="CB17" s="149">
        <f t="shared" si="16"/>
        <v>83</v>
      </c>
      <c r="CC17" s="149">
        <f t="shared" si="17"/>
      </c>
      <c r="CD17" s="151">
        <f t="shared" si="18"/>
      </c>
      <c r="CE17" s="42" t="s">
        <v>37</v>
      </c>
    </row>
    <row r="18" spans="2:83" s="146" customFormat="1" ht="33.75" customHeight="1">
      <c r="B18" s="93" t="s">
        <v>123</v>
      </c>
      <c r="C18" s="94" t="s">
        <v>267</v>
      </c>
      <c r="D18" s="26">
        <v>1</v>
      </c>
      <c r="E18" s="26">
        <v>2</v>
      </c>
      <c r="F18" s="160"/>
      <c r="G18" s="140" t="s">
        <v>217</v>
      </c>
      <c r="H18" s="160"/>
      <c r="I18" s="42" t="s">
        <v>37</v>
      </c>
      <c r="J18" s="28" t="s">
        <v>124</v>
      </c>
      <c r="K18" s="28"/>
      <c r="L18" s="29">
        <v>1250</v>
      </c>
      <c r="M18" s="29">
        <v>25</v>
      </c>
      <c r="N18" s="29">
        <v>80</v>
      </c>
      <c r="O18" s="162">
        <f t="shared" si="7"/>
        <v>3</v>
      </c>
      <c r="P18" s="30">
        <f t="shared" si="5"/>
        <v>0.084</v>
      </c>
      <c r="Q18" s="31">
        <v>0.1</v>
      </c>
      <c r="R18" s="31">
        <v>0.9</v>
      </c>
      <c r="S18" s="31"/>
      <c r="T18" s="31"/>
      <c r="U18" s="42" t="s">
        <v>37</v>
      </c>
      <c r="V18" s="33"/>
      <c r="W18" s="33"/>
      <c r="X18" s="34">
        <v>0.2</v>
      </c>
      <c r="Y18" s="34"/>
      <c r="Z18" s="33"/>
      <c r="AA18" s="33"/>
      <c r="AB18" s="33"/>
      <c r="AC18" s="35">
        <v>0.8</v>
      </c>
      <c r="AD18" s="32" t="s">
        <v>125</v>
      </c>
      <c r="AE18" s="36">
        <v>1</v>
      </c>
      <c r="AF18" s="42" t="s">
        <v>37</v>
      </c>
      <c r="AG18" s="37" t="s">
        <v>126</v>
      </c>
      <c r="AH18" s="42" t="s">
        <v>37</v>
      </c>
      <c r="AI18" s="33">
        <v>1</v>
      </c>
      <c r="AJ18" s="43" t="s">
        <v>37</v>
      </c>
      <c r="AK18" s="42" t="s">
        <v>37</v>
      </c>
      <c r="AL18" s="33">
        <v>0.05</v>
      </c>
      <c r="AM18" s="37"/>
      <c r="AN18" s="37" t="s">
        <v>127</v>
      </c>
      <c r="AO18" s="42" t="s">
        <v>37</v>
      </c>
      <c r="AP18" s="43">
        <v>1</v>
      </c>
      <c r="AQ18" s="43">
        <v>2</v>
      </c>
      <c r="AR18" s="139" t="s">
        <v>127</v>
      </c>
      <c r="AS18" s="36">
        <v>1</v>
      </c>
      <c r="AT18" s="36">
        <v>10</v>
      </c>
      <c r="AU18" s="42" t="s">
        <v>37</v>
      </c>
      <c r="AV18" s="116"/>
      <c r="AW18" s="38">
        <v>1</v>
      </c>
      <c r="AX18" s="38"/>
      <c r="AY18" s="38">
        <v>1</v>
      </c>
      <c r="AZ18" s="36">
        <v>1</v>
      </c>
      <c r="BA18" s="39"/>
      <c r="BB18" s="39"/>
      <c r="BC18" s="40"/>
      <c r="BD18" s="40"/>
      <c r="BE18" s="36"/>
      <c r="BF18" s="36"/>
      <c r="BG18" s="41"/>
      <c r="BH18" s="41">
        <v>1</v>
      </c>
      <c r="BI18" s="36">
        <v>1</v>
      </c>
      <c r="BJ18" s="36"/>
      <c r="BK18" s="39"/>
      <c r="BL18" s="36">
        <v>1</v>
      </c>
      <c r="BM18" s="36"/>
      <c r="BN18" s="126">
        <v>1</v>
      </c>
      <c r="BO18" s="32" t="s">
        <v>128</v>
      </c>
      <c r="BP18" s="26"/>
      <c r="BQ18" s="6"/>
      <c r="BR18" s="147">
        <f t="shared" si="8"/>
        <v>8</v>
      </c>
      <c r="BS18" s="147">
        <f t="shared" si="9"/>
        <v>72</v>
      </c>
      <c r="BT18" s="147">
        <f t="shared" si="9"/>
      </c>
      <c r="BU18" s="147">
        <f t="shared" si="10"/>
      </c>
      <c r="BV18" s="148"/>
      <c r="BW18" s="149">
        <f t="shared" si="11"/>
      </c>
      <c r="BX18" s="149">
        <f t="shared" si="12"/>
      </c>
      <c r="BY18" s="150">
        <f t="shared" si="13"/>
        <v>16</v>
      </c>
      <c r="BZ18" s="150">
        <f t="shared" si="14"/>
      </c>
      <c r="CA18" s="149">
        <f t="shared" si="15"/>
      </c>
      <c r="CB18" s="149">
        <f t="shared" si="16"/>
      </c>
      <c r="CC18" s="149">
        <f t="shared" si="17"/>
      </c>
      <c r="CD18" s="151">
        <f t="shared" si="18"/>
        <v>64</v>
      </c>
      <c r="CE18" s="32" t="s">
        <v>125</v>
      </c>
    </row>
    <row r="19" spans="2:83" s="146" customFormat="1" ht="12.75">
      <c r="B19" s="93" t="s">
        <v>13</v>
      </c>
      <c r="C19" s="94" t="s">
        <v>267</v>
      </c>
      <c r="D19" s="26">
        <v>1</v>
      </c>
      <c r="E19" s="26">
        <v>5</v>
      </c>
      <c r="F19" s="44">
        <v>1</v>
      </c>
      <c r="G19" s="155" t="s">
        <v>14</v>
      </c>
      <c r="H19" s="44">
        <v>15</v>
      </c>
      <c r="I19" s="32"/>
      <c r="J19" s="27" t="s">
        <v>36</v>
      </c>
      <c r="K19" s="28" t="s">
        <v>177</v>
      </c>
      <c r="L19" s="29">
        <v>1200</v>
      </c>
      <c r="M19" s="29">
        <v>5</v>
      </c>
      <c r="N19" s="29">
        <v>50</v>
      </c>
      <c r="O19" s="162">
        <f t="shared" si="7"/>
        <v>7</v>
      </c>
      <c r="P19" s="30">
        <f t="shared" si="5"/>
        <v>0.04583333333333333</v>
      </c>
      <c r="Q19" s="31">
        <v>0.4</v>
      </c>
      <c r="R19" s="31">
        <v>0.1</v>
      </c>
      <c r="S19" s="31"/>
      <c r="T19" s="31">
        <v>0.5</v>
      </c>
      <c r="U19" s="32"/>
      <c r="V19" s="33"/>
      <c r="W19" s="33"/>
      <c r="X19" s="34"/>
      <c r="Y19" s="34"/>
      <c r="Z19" s="33"/>
      <c r="AA19" s="33">
        <v>1</v>
      </c>
      <c r="AB19" s="33"/>
      <c r="AC19" s="35"/>
      <c r="AD19" s="32" t="s">
        <v>6</v>
      </c>
      <c r="AE19" s="36">
        <v>1</v>
      </c>
      <c r="AF19" s="32" t="s">
        <v>6</v>
      </c>
      <c r="AG19" s="36" t="s">
        <v>6</v>
      </c>
      <c r="AH19" s="42" t="s">
        <v>37</v>
      </c>
      <c r="AI19" s="33">
        <v>0</v>
      </c>
      <c r="AJ19" s="43" t="s">
        <v>37</v>
      </c>
      <c r="AK19" s="32" t="s">
        <v>6</v>
      </c>
      <c r="AL19" s="33">
        <v>0.98</v>
      </c>
      <c r="AM19" s="37" t="s">
        <v>96</v>
      </c>
      <c r="AN19" s="37" t="s">
        <v>97</v>
      </c>
      <c r="AO19" s="42" t="s">
        <v>37</v>
      </c>
      <c r="AP19" s="38">
        <v>0</v>
      </c>
      <c r="AQ19" s="43" t="s">
        <v>37</v>
      </c>
      <c r="AR19" s="32" t="s">
        <v>95</v>
      </c>
      <c r="AS19" s="36">
        <v>1</v>
      </c>
      <c r="AT19" s="36">
        <v>1</v>
      </c>
      <c r="AU19" s="32" t="s">
        <v>95</v>
      </c>
      <c r="AV19" s="116">
        <v>1</v>
      </c>
      <c r="AW19" s="38"/>
      <c r="AX19" s="38"/>
      <c r="AY19" s="38"/>
      <c r="AZ19" s="36"/>
      <c r="BA19" s="39">
        <v>1</v>
      </c>
      <c r="BB19" s="39">
        <v>1</v>
      </c>
      <c r="BC19" s="40">
        <v>1</v>
      </c>
      <c r="BD19" s="40"/>
      <c r="BE19" s="36"/>
      <c r="BF19" s="36">
        <v>1</v>
      </c>
      <c r="BG19" s="41">
        <v>1</v>
      </c>
      <c r="BH19" s="41"/>
      <c r="BI19" s="36"/>
      <c r="BJ19" s="36"/>
      <c r="BK19" s="39"/>
      <c r="BL19" s="36"/>
      <c r="BM19" s="36">
        <v>1</v>
      </c>
      <c r="BN19" s="126"/>
      <c r="BO19" s="32" t="s">
        <v>95</v>
      </c>
      <c r="BP19" s="26"/>
      <c r="BQ19" s="6"/>
      <c r="BR19" s="147">
        <f t="shared" si="8"/>
        <v>20</v>
      </c>
      <c r="BS19" s="147">
        <f t="shared" si="9"/>
        <v>5</v>
      </c>
      <c r="BT19" s="147">
        <f t="shared" si="9"/>
      </c>
      <c r="BU19" s="147">
        <f t="shared" si="10"/>
        <v>25</v>
      </c>
      <c r="BV19" s="148"/>
      <c r="BW19" s="149">
        <f t="shared" si="11"/>
      </c>
      <c r="BX19" s="149">
        <f t="shared" si="12"/>
      </c>
      <c r="BY19" s="150">
        <f t="shared" si="13"/>
      </c>
      <c r="BZ19" s="150">
        <f t="shared" si="14"/>
      </c>
      <c r="CA19" s="149">
        <f t="shared" si="15"/>
      </c>
      <c r="CB19" s="149">
        <f t="shared" si="16"/>
        <v>50</v>
      </c>
      <c r="CC19" s="149">
        <f t="shared" si="17"/>
      </c>
      <c r="CD19" s="151">
        <f t="shared" si="18"/>
      </c>
      <c r="CE19" s="32" t="s">
        <v>6</v>
      </c>
    </row>
    <row r="20" spans="2:83" s="146" customFormat="1" ht="22.5">
      <c r="B20" s="93" t="s">
        <v>17</v>
      </c>
      <c r="C20" s="94" t="s">
        <v>267</v>
      </c>
      <c r="D20" s="26">
        <v>1</v>
      </c>
      <c r="E20" s="26">
        <v>10</v>
      </c>
      <c r="F20" s="44">
        <v>1</v>
      </c>
      <c r="G20" s="155" t="s">
        <v>167</v>
      </c>
      <c r="H20" s="44">
        <v>15</v>
      </c>
      <c r="I20" s="32"/>
      <c r="J20" s="27" t="s">
        <v>36</v>
      </c>
      <c r="K20" s="28" t="s">
        <v>207</v>
      </c>
      <c r="L20" s="29">
        <v>930</v>
      </c>
      <c r="M20" s="29">
        <v>11</v>
      </c>
      <c r="N20" s="29">
        <v>32</v>
      </c>
      <c r="O20" s="162">
        <f t="shared" si="7"/>
        <v>11</v>
      </c>
      <c r="P20" s="30">
        <f t="shared" si="5"/>
        <v>0.046236559139784944</v>
      </c>
      <c r="Q20" s="31"/>
      <c r="R20" s="31">
        <v>1</v>
      </c>
      <c r="S20" s="31"/>
      <c r="T20" s="31"/>
      <c r="U20" s="42" t="s">
        <v>37</v>
      </c>
      <c r="V20" s="33">
        <v>1</v>
      </c>
      <c r="W20" s="33"/>
      <c r="X20" s="34"/>
      <c r="Y20" s="34"/>
      <c r="Z20" s="33"/>
      <c r="AA20" s="33"/>
      <c r="AB20" s="33"/>
      <c r="AC20" s="35"/>
      <c r="AD20" s="42" t="s">
        <v>37</v>
      </c>
      <c r="AE20" s="36">
        <v>1</v>
      </c>
      <c r="AF20" s="32"/>
      <c r="AG20" s="37" t="s">
        <v>131</v>
      </c>
      <c r="AH20" s="32"/>
      <c r="AI20" s="33">
        <v>1</v>
      </c>
      <c r="AJ20" s="37" t="s">
        <v>132</v>
      </c>
      <c r="AK20" s="42" t="s">
        <v>37</v>
      </c>
      <c r="AL20" s="33">
        <v>0</v>
      </c>
      <c r="AM20" s="43" t="s">
        <v>37</v>
      </c>
      <c r="AN20" s="43" t="s">
        <v>37</v>
      </c>
      <c r="AO20" s="42" t="s">
        <v>37</v>
      </c>
      <c r="AP20" s="38">
        <v>0</v>
      </c>
      <c r="AQ20" s="43" t="s">
        <v>37</v>
      </c>
      <c r="AR20" s="42" t="s">
        <v>37</v>
      </c>
      <c r="AS20" s="36">
        <v>1</v>
      </c>
      <c r="AT20" s="36">
        <v>8</v>
      </c>
      <c r="AU20" s="42" t="s">
        <v>37</v>
      </c>
      <c r="AV20" s="116">
        <v>1</v>
      </c>
      <c r="AW20" s="38">
        <v>1</v>
      </c>
      <c r="AX20" s="38"/>
      <c r="AY20" s="38"/>
      <c r="AZ20" s="36">
        <v>1</v>
      </c>
      <c r="BA20" s="39">
        <v>1</v>
      </c>
      <c r="BB20" s="39"/>
      <c r="BC20" s="40">
        <v>1</v>
      </c>
      <c r="BD20" s="40"/>
      <c r="BE20" s="36">
        <v>1</v>
      </c>
      <c r="BF20" s="36"/>
      <c r="BG20" s="41"/>
      <c r="BH20" s="41"/>
      <c r="BI20" s="36"/>
      <c r="BJ20" s="36"/>
      <c r="BK20" s="39">
        <v>1</v>
      </c>
      <c r="BL20" s="36">
        <v>1</v>
      </c>
      <c r="BM20" s="36">
        <v>1</v>
      </c>
      <c r="BN20" s="126">
        <v>1</v>
      </c>
      <c r="BO20" s="42" t="s">
        <v>37</v>
      </c>
      <c r="BP20" s="26"/>
      <c r="BQ20" s="6"/>
      <c r="BR20" s="147">
        <f t="shared" si="8"/>
      </c>
      <c r="BS20" s="147">
        <f t="shared" si="9"/>
        <v>32</v>
      </c>
      <c r="BT20" s="147">
        <f t="shared" si="9"/>
      </c>
      <c r="BU20" s="147">
        <f t="shared" si="10"/>
      </c>
      <c r="BV20" s="148"/>
      <c r="BW20" s="149">
        <f t="shared" si="11"/>
        <v>32</v>
      </c>
      <c r="BX20" s="149">
        <f t="shared" si="12"/>
      </c>
      <c r="BY20" s="150">
        <f t="shared" si="13"/>
      </c>
      <c r="BZ20" s="150">
        <f t="shared" si="14"/>
      </c>
      <c r="CA20" s="149">
        <f t="shared" si="15"/>
      </c>
      <c r="CB20" s="149">
        <f t="shared" si="16"/>
      </c>
      <c r="CC20" s="149">
        <f t="shared" si="17"/>
      </c>
      <c r="CD20" s="151">
        <f t="shared" si="18"/>
      </c>
      <c r="CE20" s="42" t="s">
        <v>37</v>
      </c>
    </row>
    <row r="21" spans="2:83" s="146" customFormat="1" ht="48">
      <c r="B21" s="93" t="s">
        <v>38</v>
      </c>
      <c r="C21" s="94" t="s">
        <v>267</v>
      </c>
      <c r="D21" s="26">
        <v>1</v>
      </c>
      <c r="E21" s="26">
        <v>4</v>
      </c>
      <c r="F21" s="44">
        <v>1</v>
      </c>
      <c r="G21" s="155" t="s">
        <v>188</v>
      </c>
      <c r="H21" s="44">
        <v>10</v>
      </c>
      <c r="I21" s="32" t="s">
        <v>187</v>
      </c>
      <c r="J21" s="27" t="s">
        <v>36</v>
      </c>
      <c r="K21" s="28" t="s">
        <v>190</v>
      </c>
      <c r="L21" s="46">
        <v>300</v>
      </c>
      <c r="M21" s="46">
        <v>3</v>
      </c>
      <c r="N21" s="46">
        <v>25</v>
      </c>
      <c r="O21" s="162">
        <f t="shared" si="7"/>
        <v>14</v>
      </c>
      <c r="P21" s="30">
        <f t="shared" si="5"/>
        <v>0.09333333333333334</v>
      </c>
      <c r="Q21" s="31">
        <v>0.4</v>
      </c>
      <c r="R21" s="31">
        <v>0.6</v>
      </c>
      <c r="S21" s="31"/>
      <c r="T21" s="31"/>
      <c r="U21" s="32"/>
      <c r="V21" s="33"/>
      <c r="W21" s="33"/>
      <c r="X21" s="34">
        <v>1</v>
      </c>
      <c r="Y21" s="34"/>
      <c r="Z21" s="33"/>
      <c r="AA21" s="33"/>
      <c r="AB21" s="33"/>
      <c r="AC21" s="35"/>
      <c r="AD21" s="32"/>
      <c r="AE21" s="36">
        <v>1</v>
      </c>
      <c r="AF21" s="32"/>
      <c r="AG21" s="36" t="s">
        <v>191</v>
      </c>
      <c r="AH21" s="32"/>
      <c r="AI21" s="33">
        <v>0.6</v>
      </c>
      <c r="AJ21" s="37" t="s">
        <v>186</v>
      </c>
      <c r="AK21" s="32"/>
      <c r="AL21" s="33">
        <v>0.6</v>
      </c>
      <c r="AM21" s="37" t="s">
        <v>193</v>
      </c>
      <c r="AN21" s="36" t="s">
        <v>192</v>
      </c>
      <c r="AO21" s="42" t="s">
        <v>37</v>
      </c>
      <c r="AP21" s="38">
        <v>0</v>
      </c>
      <c r="AQ21" s="43" t="s">
        <v>37</v>
      </c>
      <c r="AR21" s="42" t="s">
        <v>37</v>
      </c>
      <c r="AS21" s="36">
        <v>1</v>
      </c>
      <c r="AT21" s="36">
        <v>2</v>
      </c>
      <c r="AU21" s="42" t="s">
        <v>37</v>
      </c>
      <c r="AV21" s="116">
        <v>1</v>
      </c>
      <c r="AW21" s="38">
        <v>1</v>
      </c>
      <c r="AX21" s="38"/>
      <c r="AY21" s="38"/>
      <c r="AZ21" s="36"/>
      <c r="BA21" s="39">
        <v>1</v>
      </c>
      <c r="BB21" s="39"/>
      <c r="BC21" s="40">
        <v>1</v>
      </c>
      <c r="BD21" s="40"/>
      <c r="BE21" s="36"/>
      <c r="BF21" s="36">
        <v>1</v>
      </c>
      <c r="BG21" s="41"/>
      <c r="BH21" s="41">
        <v>1</v>
      </c>
      <c r="BI21" s="36"/>
      <c r="BJ21" s="36"/>
      <c r="BK21" s="39"/>
      <c r="BL21" s="36">
        <v>1</v>
      </c>
      <c r="BM21" s="36">
        <v>1</v>
      </c>
      <c r="BN21" s="126"/>
      <c r="BO21" s="32"/>
      <c r="BP21" s="26"/>
      <c r="BQ21" s="6"/>
      <c r="BR21" s="147">
        <f t="shared" si="8"/>
        <v>10</v>
      </c>
      <c r="BS21" s="147">
        <f t="shared" si="9"/>
        <v>15</v>
      </c>
      <c r="BT21" s="147">
        <f t="shared" si="9"/>
      </c>
      <c r="BU21" s="147">
        <f t="shared" si="10"/>
      </c>
      <c r="BV21" s="148"/>
      <c r="BW21" s="149">
        <f t="shared" si="11"/>
      </c>
      <c r="BX21" s="149">
        <f t="shared" si="12"/>
      </c>
      <c r="BY21" s="150">
        <f t="shared" si="13"/>
        <v>25</v>
      </c>
      <c r="BZ21" s="150">
        <f t="shared" si="14"/>
      </c>
      <c r="CA21" s="149">
        <f t="shared" si="15"/>
      </c>
      <c r="CB21" s="149">
        <f t="shared" si="16"/>
      </c>
      <c r="CC21" s="149">
        <f t="shared" si="17"/>
      </c>
      <c r="CD21" s="151">
        <f t="shared" si="18"/>
      </c>
      <c r="CE21" s="32"/>
    </row>
    <row r="22" spans="2:83" s="146" customFormat="1" ht="24">
      <c r="B22" s="93" t="s">
        <v>194</v>
      </c>
      <c r="C22" s="94" t="s">
        <v>267</v>
      </c>
      <c r="D22" s="26">
        <v>1</v>
      </c>
      <c r="E22" s="26">
        <v>2</v>
      </c>
      <c r="F22" s="25">
        <v>0</v>
      </c>
      <c r="G22" s="27" t="s">
        <v>36</v>
      </c>
      <c r="H22" s="25">
        <v>0</v>
      </c>
      <c r="I22" s="32"/>
      <c r="J22" s="140" t="s">
        <v>195</v>
      </c>
      <c r="K22" s="28" t="s">
        <v>221</v>
      </c>
      <c r="L22" s="46">
        <v>250</v>
      </c>
      <c r="M22" s="46">
        <v>40</v>
      </c>
      <c r="N22" s="46">
        <v>30</v>
      </c>
      <c r="O22" s="162">
        <f t="shared" si="7"/>
        <v>13</v>
      </c>
      <c r="P22" s="30">
        <f t="shared" si="5"/>
        <v>0.28</v>
      </c>
      <c r="Q22" s="31"/>
      <c r="R22" s="31">
        <v>1</v>
      </c>
      <c r="S22" s="31"/>
      <c r="T22" s="31"/>
      <c r="U22" s="32"/>
      <c r="V22" s="33"/>
      <c r="W22" s="33"/>
      <c r="X22" s="34"/>
      <c r="Y22" s="34"/>
      <c r="Z22" s="33"/>
      <c r="AA22" s="33"/>
      <c r="AB22" s="33"/>
      <c r="AC22" s="35"/>
      <c r="AD22" s="32"/>
      <c r="AE22" s="36">
        <v>1</v>
      </c>
      <c r="AF22" s="32"/>
      <c r="AG22" s="36" t="s">
        <v>222</v>
      </c>
      <c r="AH22" s="32"/>
      <c r="AI22" s="33"/>
      <c r="AJ22" s="37"/>
      <c r="AK22" s="32"/>
      <c r="AL22" s="33">
        <v>0</v>
      </c>
      <c r="AM22" s="43" t="s">
        <v>37</v>
      </c>
      <c r="AN22" s="43" t="s">
        <v>37</v>
      </c>
      <c r="AO22" s="42"/>
      <c r="AP22" s="38">
        <v>0</v>
      </c>
      <c r="AQ22" s="43" t="s">
        <v>37</v>
      </c>
      <c r="AR22" s="42" t="s">
        <v>37</v>
      </c>
      <c r="AS22" s="38">
        <v>0</v>
      </c>
      <c r="AT22" s="43" t="s">
        <v>37</v>
      </c>
      <c r="AU22" s="42" t="s">
        <v>37</v>
      </c>
      <c r="AV22" s="116">
        <v>1</v>
      </c>
      <c r="AW22" s="38"/>
      <c r="AX22" s="38"/>
      <c r="AY22" s="38"/>
      <c r="AZ22" s="36">
        <v>1</v>
      </c>
      <c r="BA22" s="39"/>
      <c r="BB22" s="39"/>
      <c r="BC22" s="40"/>
      <c r="BD22" s="40">
        <v>1</v>
      </c>
      <c r="BE22" s="36">
        <v>1</v>
      </c>
      <c r="BF22" s="36"/>
      <c r="BG22" s="41"/>
      <c r="BH22" s="41"/>
      <c r="BI22" s="36">
        <v>1</v>
      </c>
      <c r="BJ22" s="36"/>
      <c r="BK22" s="39"/>
      <c r="BL22" s="36"/>
      <c r="BM22" s="36">
        <v>1</v>
      </c>
      <c r="BN22" s="126">
        <v>1</v>
      </c>
      <c r="BO22" s="32"/>
      <c r="BP22" s="26"/>
      <c r="BQ22" s="6"/>
      <c r="BR22" s="147">
        <f t="shared" si="8"/>
      </c>
      <c r="BS22" s="147">
        <f t="shared" si="9"/>
        <v>30</v>
      </c>
      <c r="BT22" s="147">
        <f t="shared" si="9"/>
      </c>
      <c r="BU22" s="147">
        <f t="shared" si="10"/>
      </c>
      <c r="BV22" s="148"/>
      <c r="BW22" s="149">
        <f t="shared" si="11"/>
      </c>
      <c r="BX22" s="149">
        <f t="shared" si="12"/>
      </c>
      <c r="BY22" s="150">
        <f t="shared" si="13"/>
      </c>
      <c r="BZ22" s="150">
        <f t="shared" si="14"/>
      </c>
      <c r="CA22" s="149">
        <f t="shared" si="15"/>
      </c>
      <c r="CB22" s="149">
        <f t="shared" si="16"/>
      </c>
      <c r="CC22" s="149">
        <f t="shared" si="17"/>
      </c>
      <c r="CD22" s="151">
        <f t="shared" si="18"/>
      </c>
      <c r="CE22" s="32"/>
    </row>
    <row r="23" spans="2:83" s="146" customFormat="1" ht="24">
      <c r="B23" s="93" t="s">
        <v>16</v>
      </c>
      <c r="C23" s="94" t="s">
        <v>267</v>
      </c>
      <c r="D23" s="26">
        <v>1</v>
      </c>
      <c r="E23" s="26">
        <v>2</v>
      </c>
      <c r="F23" s="25">
        <v>0</v>
      </c>
      <c r="G23" s="27" t="s">
        <v>36</v>
      </c>
      <c r="H23" s="25">
        <v>0</v>
      </c>
      <c r="I23" s="32"/>
      <c r="J23" s="140" t="s">
        <v>248</v>
      </c>
      <c r="K23" s="28" t="s">
        <v>247</v>
      </c>
      <c r="L23" s="29">
        <v>269</v>
      </c>
      <c r="M23" s="29">
        <v>8</v>
      </c>
      <c r="N23" s="29">
        <v>6</v>
      </c>
      <c r="O23" s="162">
        <f t="shared" si="7"/>
        <v>21</v>
      </c>
      <c r="P23" s="30">
        <f t="shared" si="5"/>
        <v>0.05204460966542751</v>
      </c>
      <c r="Q23" s="31"/>
      <c r="R23" s="31">
        <v>1</v>
      </c>
      <c r="S23" s="31"/>
      <c r="T23" s="31"/>
      <c r="U23" s="32"/>
      <c r="V23" s="33"/>
      <c r="W23" s="33"/>
      <c r="X23" s="34"/>
      <c r="Y23" s="34"/>
      <c r="Z23" s="33">
        <v>1</v>
      </c>
      <c r="AA23" s="33"/>
      <c r="AB23" s="33"/>
      <c r="AC23" s="35"/>
      <c r="AD23" s="32"/>
      <c r="AE23" s="36">
        <v>0</v>
      </c>
      <c r="AF23" s="32"/>
      <c r="AG23" s="36"/>
      <c r="AH23" s="32"/>
      <c r="AI23" s="33"/>
      <c r="AJ23" s="37"/>
      <c r="AK23" s="32"/>
      <c r="AL23" s="33"/>
      <c r="AM23" s="37"/>
      <c r="AN23" s="36"/>
      <c r="AO23" s="32"/>
      <c r="AP23" s="36"/>
      <c r="AQ23" s="36"/>
      <c r="AR23" s="32"/>
      <c r="AS23" s="36"/>
      <c r="AT23" s="36"/>
      <c r="AU23" s="32"/>
      <c r="AV23" s="116"/>
      <c r="AW23" s="38"/>
      <c r="AX23" s="38"/>
      <c r="AY23" s="38"/>
      <c r="AZ23" s="36"/>
      <c r="BA23" s="39"/>
      <c r="BB23" s="39"/>
      <c r="BC23" s="40"/>
      <c r="BD23" s="40"/>
      <c r="BE23" s="36"/>
      <c r="BF23" s="36"/>
      <c r="BG23" s="41"/>
      <c r="BH23" s="41"/>
      <c r="BI23" s="36"/>
      <c r="BJ23" s="36"/>
      <c r="BK23" s="39"/>
      <c r="BL23" s="36"/>
      <c r="BM23" s="36"/>
      <c r="BN23" s="126"/>
      <c r="BO23" s="32"/>
      <c r="BP23" s="26"/>
      <c r="BQ23" s="6"/>
      <c r="BR23" s="147">
        <f t="shared" si="8"/>
      </c>
      <c r="BS23" s="147">
        <f t="shared" si="9"/>
        <v>6</v>
      </c>
      <c r="BT23" s="147">
        <f t="shared" si="9"/>
      </c>
      <c r="BU23" s="147">
        <f t="shared" si="10"/>
      </c>
      <c r="BV23" s="148"/>
      <c r="BW23" s="149">
        <f t="shared" si="11"/>
      </c>
      <c r="BX23" s="149">
        <f t="shared" si="12"/>
      </c>
      <c r="BY23" s="150">
        <f t="shared" si="13"/>
      </c>
      <c r="BZ23" s="150">
        <f t="shared" si="14"/>
      </c>
      <c r="CA23" s="149">
        <f t="shared" si="15"/>
        <v>6</v>
      </c>
      <c r="CB23" s="149">
        <f t="shared" si="16"/>
      </c>
      <c r="CC23" s="149">
        <f t="shared" si="17"/>
      </c>
      <c r="CD23" s="151">
        <f t="shared" si="18"/>
      </c>
      <c r="CE23" s="32"/>
    </row>
    <row r="24" spans="2:83" s="146" customFormat="1" ht="45">
      <c r="B24" s="93" t="s">
        <v>103</v>
      </c>
      <c r="C24" s="94" t="s">
        <v>267</v>
      </c>
      <c r="D24" s="26">
        <v>1</v>
      </c>
      <c r="E24" s="26">
        <v>4</v>
      </c>
      <c r="F24" s="44">
        <v>1</v>
      </c>
      <c r="G24" s="155" t="s">
        <v>104</v>
      </c>
      <c r="H24" s="44">
        <v>15</v>
      </c>
      <c r="I24" s="32" t="s">
        <v>112</v>
      </c>
      <c r="J24" s="27" t="s">
        <v>36</v>
      </c>
      <c r="K24" s="27" t="s">
        <v>36</v>
      </c>
      <c r="L24" s="29">
        <v>300</v>
      </c>
      <c r="M24" s="29">
        <v>2</v>
      </c>
      <c r="N24" s="29">
        <v>32</v>
      </c>
      <c r="O24" s="162">
        <f t="shared" si="7"/>
        <v>11</v>
      </c>
      <c r="P24" s="30">
        <f t="shared" si="5"/>
        <v>0.11333333333333333</v>
      </c>
      <c r="Q24" s="31"/>
      <c r="R24" s="31">
        <v>0.9</v>
      </c>
      <c r="S24" s="31"/>
      <c r="T24" s="31">
        <v>0.1</v>
      </c>
      <c r="U24" s="42" t="s">
        <v>37</v>
      </c>
      <c r="V24" s="33"/>
      <c r="W24" s="33"/>
      <c r="X24" s="34">
        <v>0.2</v>
      </c>
      <c r="Y24" s="34">
        <v>0.8</v>
      </c>
      <c r="Z24" s="33"/>
      <c r="AA24" s="33"/>
      <c r="AB24" s="33"/>
      <c r="AC24" s="35"/>
      <c r="AD24" s="42" t="s">
        <v>37</v>
      </c>
      <c r="AE24" s="36">
        <v>1</v>
      </c>
      <c r="AF24" s="42" t="s">
        <v>37</v>
      </c>
      <c r="AG24" s="37" t="s">
        <v>105</v>
      </c>
      <c r="AH24" s="42" t="s">
        <v>37</v>
      </c>
      <c r="AI24" s="33">
        <v>0</v>
      </c>
      <c r="AJ24" s="43" t="s">
        <v>37</v>
      </c>
      <c r="AK24" s="42" t="s">
        <v>37</v>
      </c>
      <c r="AL24" s="33">
        <v>0.1</v>
      </c>
      <c r="AM24" s="37" t="s">
        <v>106</v>
      </c>
      <c r="AN24" s="37" t="s">
        <v>107</v>
      </c>
      <c r="AO24" s="32" t="s">
        <v>108</v>
      </c>
      <c r="AP24" s="36">
        <v>1</v>
      </c>
      <c r="AQ24" s="36">
        <v>2</v>
      </c>
      <c r="AR24" s="32" t="s">
        <v>109</v>
      </c>
      <c r="AS24" s="36">
        <v>1</v>
      </c>
      <c r="AT24" s="36">
        <v>1</v>
      </c>
      <c r="AU24" s="32" t="s">
        <v>110</v>
      </c>
      <c r="AV24" s="116"/>
      <c r="AW24" s="38">
        <v>1</v>
      </c>
      <c r="AX24" s="38"/>
      <c r="AY24" s="38">
        <v>1</v>
      </c>
      <c r="AZ24" s="36">
        <v>1</v>
      </c>
      <c r="BA24" s="39"/>
      <c r="BB24" s="39"/>
      <c r="BC24" s="40">
        <v>1</v>
      </c>
      <c r="BD24" s="40"/>
      <c r="BE24" s="36">
        <v>1</v>
      </c>
      <c r="BF24" s="36"/>
      <c r="BG24" s="41">
        <v>1</v>
      </c>
      <c r="BH24" s="41">
        <v>1</v>
      </c>
      <c r="BI24" s="36"/>
      <c r="BJ24" s="36"/>
      <c r="BK24" s="39">
        <v>1</v>
      </c>
      <c r="BL24" s="36">
        <v>1</v>
      </c>
      <c r="BM24" s="36"/>
      <c r="BN24" s="126"/>
      <c r="BO24" s="42" t="s">
        <v>37</v>
      </c>
      <c r="BP24" s="26"/>
      <c r="BQ24" s="6"/>
      <c r="BR24" s="147">
        <f t="shared" si="8"/>
      </c>
      <c r="BS24" s="147">
        <f t="shared" si="9"/>
        <v>28.8</v>
      </c>
      <c r="BT24" s="147">
        <f t="shared" si="9"/>
      </c>
      <c r="BU24" s="147">
        <f t="shared" si="10"/>
        <v>3.2</v>
      </c>
      <c r="BV24" s="148"/>
      <c r="BW24" s="149">
        <f t="shared" si="11"/>
      </c>
      <c r="BX24" s="149">
        <f t="shared" si="12"/>
      </c>
      <c r="BY24" s="150">
        <f t="shared" si="13"/>
        <v>6.4</v>
      </c>
      <c r="BZ24" s="150">
        <f t="shared" si="14"/>
        <v>25.6</v>
      </c>
      <c r="CA24" s="149">
        <f t="shared" si="15"/>
      </c>
      <c r="CB24" s="149">
        <f t="shared" si="16"/>
      </c>
      <c r="CC24" s="149">
        <f t="shared" si="17"/>
      </c>
      <c r="CD24" s="151">
        <f t="shared" si="18"/>
      </c>
      <c r="CE24" s="42" t="s">
        <v>37</v>
      </c>
    </row>
    <row r="25" spans="2:83" s="146" customFormat="1" ht="45">
      <c r="B25" s="93" t="s">
        <v>18</v>
      </c>
      <c r="C25" s="94" t="s">
        <v>267</v>
      </c>
      <c r="D25" s="26">
        <v>1</v>
      </c>
      <c r="E25" s="170">
        <v>6</v>
      </c>
      <c r="F25" s="44">
        <v>1</v>
      </c>
      <c r="G25" s="155" t="s">
        <v>246</v>
      </c>
      <c r="H25" s="44">
        <v>20</v>
      </c>
      <c r="I25" s="32"/>
      <c r="J25" s="27" t="s">
        <v>36</v>
      </c>
      <c r="K25" s="27" t="s">
        <v>36</v>
      </c>
      <c r="L25" s="29">
        <v>1050</v>
      </c>
      <c r="M25" s="29">
        <v>15</v>
      </c>
      <c r="N25" s="29">
        <v>35</v>
      </c>
      <c r="O25" s="162">
        <f t="shared" si="7"/>
        <v>10</v>
      </c>
      <c r="P25" s="30">
        <f t="shared" si="5"/>
        <v>0.047619047619047616</v>
      </c>
      <c r="Q25" s="31"/>
      <c r="R25" s="31">
        <v>0.65</v>
      </c>
      <c r="S25" s="31"/>
      <c r="T25" s="31">
        <v>0.35</v>
      </c>
      <c r="U25" s="32" t="s">
        <v>10</v>
      </c>
      <c r="V25" s="33"/>
      <c r="W25" s="33"/>
      <c r="X25" s="34"/>
      <c r="Y25" s="34"/>
      <c r="Z25" s="33"/>
      <c r="AA25" s="33"/>
      <c r="AB25" s="33"/>
      <c r="AC25" s="35"/>
      <c r="AD25" s="32" t="s">
        <v>265</v>
      </c>
      <c r="AE25" s="36"/>
      <c r="AF25" s="32"/>
      <c r="AG25" s="36"/>
      <c r="AH25" s="32"/>
      <c r="AI25" s="33"/>
      <c r="AJ25" s="37"/>
      <c r="AK25" s="32"/>
      <c r="AL25" s="33"/>
      <c r="AM25" s="37"/>
      <c r="AN25" s="36"/>
      <c r="AO25" s="32"/>
      <c r="AP25" s="36"/>
      <c r="AQ25" s="36"/>
      <c r="AR25" s="32"/>
      <c r="AS25" s="36"/>
      <c r="AT25" s="36"/>
      <c r="AU25" s="32"/>
      <c r="AV25" s="116"/>
      <c r="AW25" s="38"/>
      <c r="AX25" s="38"/>
      <c r="AY25" s="38"/>
      <c r="AZ25" s="36"/>
      <c r="BA25" s="39"/>
      <c r="BB25" s="39"/>
      <c r="BC25" s="40"/>
      <c r="BD25" s="40"/>
      <c r="BE25" s="36"/>
      <c r="BF25" s="36"/>
      <c r="BG25" s="41"/>
      <c r="BH25" s="41"/>
      <c r="BI25" s="36"/>
      <c r="BJ25" s="36"/>
      <c r="BK25" s="39"/>
      <c r="BL25" s="36"/>
      <c r="BM25" s="36"/>
      <c r="BN25" s="126"/>
      <c r="BO25" s="32"/>
      <c r="BP25" s="26"/>
      <c r="BQ25" s="6"/>
      <c r="BR25" s="147">
        <f t="shared" si="8"/>
      </c>
      <c r="BS25" s="147">
        <f t="shared" si="9"/>
        <v>22.75</v>
      </c>
      <c r="BT25" s="147">
        <f t="shared" si="9"/>
      </c>
      <c r="BU25" s="147">
        <f t="shared" si="10"/>
        <v>12.25</v>
      </c>
      <c r="BV25" s="148"/>
      <c r="BW25" s="149">
        <f t="shared" si="11"/>
      </c>
      <c r="BX25" s="149">
        <f t="shared" si="12"/>
      </c>
      <c r="BY25" s="150">
        <f t="shared" si="13"/>
      </c>
      <c r="BZ25" s="150">
        <f t="shared" si="14"/>
      </c>
      <c r="CA25" s="149">
        <f t="shared" si="15"/>
      </c>
      <c r="CB25" s="149">
        <f t="shared" si="16"/>
      </c>
      <c r="CC25" s="149">
        <f t="shared" si="17"/>
      </c>
      <c r="CD25" s="151">
        <f t="shared" si="18"/>
      </c>
      <c r="CE25" s="32" t="s">
        <v>6</v>
      </c>
    </row>
    <row r="26" spans="2:83" s="146" customFormat="1" ht="33.75">
      <c r="B26" s="93" t="s">
        <v>231</v>
      </c>
      <c r="C26" s="94" t="s">
        <v>267</v>
      </c>
      <c r="D26" s="26">
        <v>1</v>
      </c>
      <c r="E26" s="170">
        <v>2</v>
      </c>
      <c r="F26" s="25">
        <v>0</v>
      </c>
      <c r="G26" s="27" t="s">
        <v>36</v>
      </c>
      <c r="H26" s="25">
        <v>0</v>
      </c>
      <c r="I26" s="32"/>
      <c r="J26" s="27"/>
      <c r="K26" s="140" t="s">
        <v>249</v>
      </c>
      <c r="L26" s="29">
        <v>345</v>
      </c>
      <c r="M26" s="29">
        <v>19</v>
      </c>
      <c r="N26" s="29">
        <v>10</v>
      </c>
      <c r="O26" s="162">
        <f t="shared" si="7"/>
        <v>18</v>
      </c>
      <c r="P26" s="30">
        <f t="shared" si="5"/>
        <v>0.08405797101449275</v>
      </c>
      <c r="Q26" s="31"/>
      <c r="R26" s="31">
        <v>0.75</v>
      </c>
      <c r="S26" s="31"/>
      <c r="T26" s="31">
        <v>0.25</v>
      </c>
      <c r="U26" s="32" t="s">
        <v>250</v>
      </c>
      <c r="V26" s="33"/>
      <c r="W26" s="33"/>
      <c r="X26" s="34">
        <v>0.5</v>
      </c>
      <c r="Y26" s="34">
        <v>0.5</v>
      </c>
      <c r="Z26" s="33"/>
      <c r="AA26" s="33"/>
      <c r="AB26" s="33"/>
      <c r="AC26" s="35"/>
      <c r="AD26" s="42" t="s">
        <v>37</v>
      </c>
      <c r="AE26" s="36">
        <v>1</v>
      </c>
      <c r="AF26" s="32"/>
      <c r="AG26" s="36" t="s">
        <v>251</v>
      </c>
      <c r="AH26" s="32"/>
      <c r="AI26" s="33">
        <v>0.5</v>
      </c>
      <c r="AJ26" s="37" t="s">
        <v>252</v>
      </c>
      <c r="AK26" s="32"/>
      <c r="AL26" s="33">
        <v>0</v>
      </c>
      <c r="AM26" s="37" t="s">
        <v>106</v>
      </c>
      <c r="AN26" s="36" t="s">
        <v>253</v>
      </c>
      <c r="AO26" s="32"/>
      <c r="AP26" s="38">
        <v>0</v>
      </c>
      <c r="AQ26" s="43" t="s">
        <v>37</v>
      </c>
      <c r="AR26" s="42" t="s">
        <v>37</v>
      </c>
      <c r="AS26" s="38">
        <v>0</v>
      </c>
      <c r="AT26" s="43" t="s">
        <v>37</v>
      </c>
      <c r="AU26" s="42" t="s">
        <v>37</v>
      </c>
      <c r="AV26" s="116">
        <v>1</v>
      </c>
      <c r="AW26" s="38"/>
      <c r="AX26" s="38"/>
      <c r="AY26" s="38"/>
      <c r="AZ26" s="36"/>
      <c r="BA26" s="39"/>
      <c r="BB26" s="39">
        <v>1</v>
      </c>
      <c r="BC26" s="40">
        <v>1</v>
      </c>
      <c r="BD26" s="40">
        <v>1</v>
      </c>
      <c r="BE26" s="36"/>
      <c r="BF26" s="36"/>
      <c r="BG26" s="41">
        <v>1</v>
      </c>
      <c r="BH26" s="41"/>
      <c r="BI26" s="36"/>
      <c r="BJ26" s="36">
        <v>1</v>
      </c>
      <c r="BK26" s="39"/>
      <c r="BL26" s="36"/>
      <c r="BM26" s="36">
        <v>1</v>
      </c>
      <c r="BN26" s="126">
        <v>1</v>
      </c>
      <c r="BO26" s="32"/>
      <c r="BP26" s="26"/>
      <c r="BQ26" s="6"/>
      <c r="BR26" s="147">
        <f t="shared" si="8"/>
      </c>
      <c r="BS26" s="147">
        <f t="shared" si="9"/>
        <v>7.5</v>
      </c>
      <c r="BT26" s="147">
        <f t="shared" si="9"/>
      </c>
      <c r="BU26" s="147"/>
      <c r="BV26" s="148"/>
      <c r="BW26" s="149">
        <f t="shared" si="11"/>
      </c>
      <c r="BX26" s="149">
        <f t="shared" si="12"/>
      </c>
      <c r="BY26" s="150">
        <f t="shared" si="13"/>
        <v>5</v>
      </c>
      <c r="BZ26" s="150">
        <f t="shared" si="14"/>
        <v>5</v>
      </c>
      <c r="CA26" s="149">
        <f t="shared" si="15"/>
      </c>
      <c r="CB26" s="149">
        <f t="shared" si="16"/>
      </c>
      <c r="CC26" s="149">
        <f t="shared" si="17"/>
      </c>
      <c r="CD26" s="151">
        <f t="shared" si="18"/>
      </c>
      <c r="CE26" s="32"/>
    </row>
    <row r="27" spans="2:83" s="146" customFormat="1" ht="12.75">
      <c r="B27" s="96" t="s">
        <v>21</v>
      </c>
      <c r="C27" s="95" t="s">
        <v>378</v>
      </c>
      <c r="D27" s="26">
        <v>1</v>
      </c>
      <c r="E27" s="170">
        <v>2</v>
      </c>
      <c r="F27" s="25">
        <v>0</v>
      </c>
      <c r="G27" s="27" t="s">
        <v>36</v>
      </c>
      <c r="H27" s="25">
        <v>0</v>
      </c>
      <c r="I27" s="42" t="s">
        <v>37</v>
      </c>
      <c r="J27" s="27" t="s">
        <v>36</v>
      </c>
      <c r="K27" s="27" t="s">
        <v>36</v>
      </c>
      <c r="L27" s="29">
        <v>220</v>
      </c>
      <c r="M27" s="29">
        <v>9</v>
      </c>
      <c r="N27" s="29">
        <v>0</v>
      </c>
      <c r="O27" s="29"/>
      <c r="P27" s="30">
        <f t="shared" si="5"/>
        <v>0.04090909090909091</v>
      </c>
      <c r="Q27" s="31"/>
      <c r="R27" s="31"/>
      <c r="S27" s="31"/>
      <c r="T27" s="31"/>
      <c r="U27" s="42" t="s">
        <v>37</v>
      </c>
      <c r="V27" s="48"/>
      <c r="W27" s="48"/>
      <c r="X27" s="49"/>
      <c r="Y27" s="49"/>
      <c r="Z27" s="48"/>
      <c r="AA27" s="48"/>
      <c r="AB27" s="48"/>
      <c r="AC27" s="50"/>
      <c r="AD27" s="32"/>
      <c r="AE27" s="43"/>
      <c r="AF27" s="32"/>
      <c r="AG27" s="43"/>
      <c r="AH27" s="32"/>
      <c r="AI27" s="48"/>
      <c r="AJ27" s="47"/>
      <c r="AK27" s="32"/>
      <c r="AL27" s="48"/>
      <c r="AM27" s="47"/>
      <c r="AN27" s="43"/>
      <c r="AO27" s="32"/>
      <c r="AP27" s="36"/>
      <c r="AQ27" s="43"/>
      <c r="AR27" s="32"/>
      <c r="AS27" s="43"/>
      <c r="AT27" s="43"/>
      <c r="AU27" s="32"/>
      <c r="AV27" s="117"/>
      <c r="AW27" s="51"/>
      <c r="AX27" s="51"/>
      <c r="AY27" s="51"/>
      <c r="AZ27" s="43"/>
      <c r="BA27" s="52"/>
      <c r="BB27" s="52"/>
      <c r="BC27" s="53"/>
      <c r="BD27" s="53"/>
      <c r="BE27" s="43"/>
      <c r="BF27" s="43"/>
      <c r="BG27" s="54"/>
      <c r="BH27" s="54"/>
      <c r="BI27" s="43"/>
      <c r="BJ27" s="43"/>
      <c r="BK27" s="52"/>
      <c r="BL27" s="43"/>
      <c r="BM27" s="43"/>
      <c r="BN27" s="127"/>
      <c r="BO27" s="32"/>
      <c r="BP27" s="26"/>
      <c r="BQ27" s="6"/>
      <c r="BR27" s="147">
        <f t="shared" si="8"/>
      </c>
      <c r="BS27" s="147">
        <f t="shared" si="9"/>
      </c>
      <c r="BT27" s="147">
        <f t="shared" si="9"/>
      </c>
      <c r="BU27" s="147">
        <f t="shared" si="10"/>
      </c>
      <c r="BV27" s="148"/>
      <c r="BW27" s="149">
        <f t="shared" si="11"/>
      </c>
      <c r="BX27" s="149">
        <f t="shared" si="12"/>
      </c>
      <c r="BY27" s="150">
        <f t="shared" si="13"/>
      </c>
      <c r="BZ27" s="150">
        <f t="shared" si="14"/>
      </c>
      <c r="CA27" s="149">
        <f t="shared" si="15"/>
      </c>
      <c r="CB27" s="149">
        <f t="shared" si="16"/>
      </c>
      <c r="CC27" s="149">
        <f t="shared" si="17"/>
      </c>
      <c r="CD27" s="151">
        <f t="shared" si="18"/>
      </c>
      <c r="CE27" s="32"/>
    </row>
    <row r="28" spans="2:83" s="146" customFormat="1" ht="22.5">
      <c r="B28" s="96" t="s">
        <v>141</v>
      </c>
      <c r="C28" s="95" t="s">
        <v>378</v>
      </c>
      <c r="D28" s="26">
        <v>1</v>
      </c>
      <c r="E28" s="26">
        <v>3</v>
      </c>
      <c r="F28" s="25">
        <v>0</v>
      </c>
      <c r="G28" s="27" t="s">
        <v>36</v>
      </c>
      <c r="H28" s="25">
        <v>0</v>
      </c>
      <c r="I28" s="42" t="s">
        <v>37</v>
      </c>
      <c r="J28" s="28" t="s">
        <v>142</v>
      </c>
      <c r="K28" s="27" t="s">
        <v>36</v>
      </c>
      <c r="L28" s="29">
        <v>339</v>
      </c>
      <c r="M28" s="29">
        <v>10</v>
      </c>
      <c r="N28" s="29">
        <v>7</v>
      </c>
      <c r="O28" s="29"/>
      <c r="P28" s="30">
        <f>IF(SUM(M28:N28)=0,"",SUM(M28:N28)/L28)</f>
        <v>0.05014749262536873</v>
      </c>
      <c r="Q28" s="31">
        <v>1</v>
      </c>
      <c r="R28" s="31"/>
      <c r="S28" s="31"/>
      <c r="T28" s="31"/>
      <c r="U28" s="42" t="s">
        <v>37</v>
      </c>
      <c r="V28" s="48"/>
      <c r="W28" s="48"/>
      <c r="X28" s="49"/>
      <c r="Y28" s="49"/>
      <c r="Z28" s="48"/>
      <c r="AA28" s="48"/>
      <c r="AB28" s="48"/>
      <c r="AC28" s="35">
        <v>1</v>
      </c>
      <c r="AD28" s="42" t="s">
        <v>37</v>
      </c>
      <c r="AE28" s="43">
        <v>1</v>
      </c>
      <c r="AF28" s="42" t="s">
        <v>37</v>
      </c>
      <c r="AG28" s="37" t="s">
        <v>131</v>
      </c>
      <c r="AH28" s="42" t="s">
        <v>37</v>
      </c>
      <c r="AI28" s="33">
        <v>0</v>
      </c>
      <c r="AJ28" s="43" t="s">
        <v>37</v>
      </c>
      <c r="AK28" s="42" t="s">
        <v>37</v>
      </c>
      <c r="AL28" s="33">
        <v>0</v>
      </c>
      <c r="AM28" s="43" t="s">
        <v>37</v>
      </c>
      <c r="AN28" s="43" t="s">
        <v>37</v>
      </c>
      <c r="AO28" s="42" t="s">
        <v>37</v>
      </c>
      <c r="AP28" s="38">
        <v>0</v>
      </c>
      <c r="AQ28" s="43" t="s">
        <v>37</v>
      </c>
      <c r="AR28" s="42" t="s">
        <v>37</v>
      </c>
      <c r="AS28" s="38">
        <v>0</v>
      </c>
      <c r="AT28" s="43" t="s">
        <v>37</v>
      </c>
      <c r="AU28" s="42" t="s">
        <v>37</v>
      </c>
      <c r="AV28" s="117">
        <v>1</v>
      </c>
      <c r="AW28" s="51"/>
      <c r="AX28" s="51">
        <v>1</v>
      </c>
      <c r="AY28" s="51">
        <v>1</v>
      </c>
      <c r="AZ28" s="43"/>
      <c r="BA28" s="52">
        <v>1</v>
      </c>
      <c r="BB28" s="52"/>
      <c r="BC28" s="53">
        <v>1</v>
      </c>
      <c r="BD28" s="53"/>
      <c r="BE28" s="43">
        <v>1</v>
      </c>
      <c r="BF28" s="43"/>
      <c r="BG28" s="54">
        <v>1</v>
      </c>
      <c r="BH28" s="54"/>
      <c r="BI28" s="43"/>
      <c r="BJ28" s="43">
        <v>1</v>
      </c>
      <c r="BK28" s="52">
        <v>1</v>
      </c>
      <c r="BL28" s="43"/>
      <c r="BM28" s="43">
        <v>1</v>
      </c>
      <c r="BN28" s="127"/>
      <c r="BO28" s="32"/>
      <c r="BP28" s="26"/>
      <c r="BQ28" s="6"/>
      <c r="BR28" s="147">
        <f t="shared" si="8"/>
        <v>7</v>
      </c>
      <c r="BS28" s="147">
        <f t="shared" si="9"/>
      </c>
      <c r="BT28" s="147">
        <f t="shared" si="9"/>
      </c>
      <c r="BU28" s="147">
        <f t="shared" si="10"/>
      </c>
      <c r="BV28" s="148"/>
      <c r="BW28" s="149">
        <f t="shared" si="11"/>
      </c>
      <c r="BX28" s="149">
        <f t="shared" si="12"/>
      </c>
      <c r="BY28" s="150">
        <f t="shared" si="13"/>
      </c>
      <c r="BZ28" s="150">
        <f t="shared" si="14"/>
      </c>
      <c r="CA28" s="149">
        <f t="shared" si="15"/>
      </c>
      <c r="CB28" s="149">
        <f t="shared" si="16"/>
      </c>
      <c r="CC28" s="149">
        <f t="shared" si="17"/>
      </c>
      <c r="CD28" s="151">
        <f t="shared" si="18"/>
        <v>7</v>
      </c>
      <c r="CE28" s="42" t="s">
        <v>37</v>
      </c>
    </row>
    <row r="29" spans="2:83" s="146" customFormat="1" ht="45">
      <c r="B29" s="96" t="s">
        <v>24</v>
      </c>
      <c r="C29" s="95" t="s">
        <v>378</v>
      </c>
      <c r="D29" s="26">
        <v>1</v>
      </c>
      <c r="E29" s="170">
        <v>2</v>
      </c>
      <c r="F29" s="25">
        <v>0</v>
      </c>
      <c r="G29" s="27" t="s">
        <v>36</v>
      </c>
      <c r="H29" s="25">
        <v>0</v>
      </c>
      <c r="I29" s="32"/>
      <c r="J29" s="28" t="s">
        <v>25</v>
      </c>
      <c r="K29" s="28" t="s">
        <v>268</v>
      </c>
      <c r="L29" s="29">
        <v>284</v>
      </c>
      <c r="M29" s="55">
        <v>0.3</v>
      </c>
      <c r="N29" s="29">
        <v>17</v>
      </c>
      <c r="O29" s="29"/>
      <c r="P29" s="30">
        <f t="shared" si="5"/>
        <v>0.06091549295774648</v>
      </c>
      <c r="Q29" s="31"/>
      <c r="R29" s="31">
        <v>0.66</v>
      </c>
      <c r="S29" s="31"/>
      <c r="T29" s="31">
        <v>0.34</v>
      </c>
      <c r="U29" s="32" t="s">
        <v>133</v>
      </c>
      <c r="V29" s="33"/>
      <c r="W29" s="33">
        <v>0.66</v>
      </c>
      <c r="X29" s="34"/>
      <c r="Y29" s="34"/>
      <c r="Z29" s="33"/>
      <c r="AA29" s="33"/>
      <c r="AB29" s="33"/>
      <c r="AC29" s="35">
        <v>0.34</v>
      </c>
      <c r="AD29" s="32" t="s">
        <v>134</v>
      </c>
      <c r="AE29" s="36">
        <v>1</v>
      </c>
      <c r="AF29" s="32" t="s">
        <v>135</v>
      </c>
      <c r="AG29" s="36" t="s">
        <v>136</v>
      </c>
      <c r="AH29" s="32" t="s">
        <v>137</v>
      </c>
      <c r="AI29" s="33">
        <v>1</v>
      </c>
      <c r="AJ29" s="37" t="s">
        <v>138</v>
      </c>
      <c r="AK29" s="32" t="s">
        <v>139</v>
      </c>
      <c r="AL29" s="33">
        <v>0</v>
      </c>
      <c r="AM29" s="43" t="s">
        <v>37</v>
      </c>
      <c r="AN29" s="43" t="s">
        <v>37</v>
      </c>
      <c r="AO29" s="42" t="s">
        <v>37</v>
      </c>
      <c r="AP29" s="38">
        <v>0</v>
      </c>
      <c r="AQ29" s="43" t="s">
        <v>37</v>
      </c>
      <c r="AR29" s="42" t="s">
        <v>37</v>
      </c>
      <c r="AS29" s="38">
        <v>0</v>
      </c>
      <c r="AT29" s="43" t="s">
        <v>37</v>
      </c>
      <c r="AU29" s="42" t="s">
        <v>37</v>
      </c>
      <c r="AV29" s="116"/>
      <c r="AW29" s="38">
        <v>1</v>
      </c>
      <c r="AX29" s="38">
        <v>1</v>
      </c>
      <c r="AY29" s="38"/>
      <c r="AZ29" s="36"/>
      <c r="BA29" s="39"/>
      <c r="BB29" s="39"/>
      <c r="BC29" s="40">
        <v>1</v>
      </c>
      <c r="BD29" s="40">
        <v>1</v>
      </c>
      <c r="BE29" s="36">
        <v>1</v>
      </c>
      <c r="BF29" s="36"/>
      <c r="BG29" s="41">
        <v>1</v>
      </c>
      <c r="BH29" s="41">
        <v>1</v>
      </c>
      <c r="BI29" s="36">
        <v>1</v>
      </c>
      <c r="BJ29" s="36"/>
      <c r="BK29" s="39"/>
      <c r="BL29" s="36"/>
      <c r="BM29" s="36">
        <v>1</v>
      </c>
      <c r="BN29" s="126">
        <v>1</v>
      </c>
      <c r="BO29" s="32" t="s">
        <v>140</v>
      </c>
      <c r="BP29" s="26"/>
      <c r="BQ29" s="6"/>
      <c r="BR29" s="147">
        <f t="shared" si="8"/>
      </c>
      <c r="BS29" s="147">
        <f t="shared" si="9"/>
        <v>11.22</v>
      </c>
      <c r="BT29" s="147">
        <f t="shared" si="9"/>
      </c>
      <c r="BU29" s="147">
        <f t="shared" si="10"/>
        <v>5.78</v>
      </c>
      <c r="BV29" s="148"/>
      <c r="BW29" s="149">
        <f t="shared" si="11"/>
      </c>
      <c r="BX29" s="149">
        <f t="shared" si="12"/>
        <v>11.22</v>
      </c>
      <c r="BY29" s="150">
        <f t="shared" si="13"/>
      </c>
      <c r="BZ29" s="150">
        <f t="shared" si="14"/>
      </c>
      <c r="CA29" s="149">
        <f t="shared" si="15"/>
      </c>
      <c r="CB29" s="149">
        <f t="shared" si="16"/>
      </c>
      <c r="CC29" s="149">
        <f t="shared" si="17"/>
      </c>
      <c r="CD29" s="151">
        <f t="shared" si="18"/>
        <v>5.78</v>
      </c>
      <c r="CE29" s="32" t="s">
        <v>134</v>
      </c>
    </row>
    <row r="30" spans="2:83" s="146" customFormat="1" ht="12.75">
      <c r="B30" s="164" t="s">
        <v>22</v>
      </c>
      <c r="C30" s="95" t="s">
        <v>378</v>
      </c>
      <c r="D30" s="26">
        <v>1</v>
      </c>
      <c r="E30" s="25">
        <v>0</v>
      </c>
      <c r="F30" s="25">
        <v>0</v>
      </c>
      <c r="G30" s="27" t="s">
        <v>36</v>
      </c>
      <c r="H30" s="25">
        <v>0</v>
      </c>
      <c r="I30" s="42"/>
      <c r="J30" s="27" t="s">
        <v>36</v>
      </c>
      <c r="K30" s="27" t="s">
        <v>36</v>
      </c>
      <c r="L30" s="29">
        <v>88</v>
      </c>
      <c r="M30" s="29">
        <v>1</v>
      </c>
      <c r="N30" s="29">
        <v>1</v>
      </c>
      <c r="O30" s="29"/>
      <c r="P30" s="30">
        <f t="shared" si="5"/>
        <v>0.022727272727272728</v>
      </c>
      <c r="Q30" s="31"/>
      <c r="R30" s="31">
        <v>1</v>
      </c>
      <c r="S30" s="31"/>
      <c r="T30" s="31"/>
      <c r="U30" s="42" t="s">
        <v>37</v>
      </c>
      <c r="V30" s="33"/>
      <c r="W30" s="33"/>
      <c r="X30" s="34"/>
      <c r="Y30" s="34"/>
      <c r="Z30" s="33"/>
      <c r="AA30" s="33"/>
      <c r="AB30" s="33"/>
      <c r="AC30" s="35"/>
      <c r="AD30" s="32"/>
      <c r="AE30" s="36"/>
      <c r="AF30" s="32"/>
      <c r="AG30" s="36"/>
      <c r="AH30" s="32"/>
      <c r="AI30" s="33"/>
      <c r="AJ30" s="37"/>
      <c r="AK30" s="32"/>
      <c r="AL30" s="33"/>
      <c r="AM30" s="37"/>
      <c r="AN30" s="36"/>
      <c r="AO30" s="32"/>
      <c r="AP30" s="36"/>
      <c r="AQ30" s="36"/>
      <c r="AR30" s="32"/>
      <c r="AS30" s="36"/>
      <c r="AT30" s="36"/>
      <c r="AU30" s="32"/>
      <c r="AV30" s="116"/>
      <c r="AW30" s="38"/>
      <c r="AX30" s="38"/>
      <c r="AY30" s="38"/>
      <c r="AZ30" s="36"/>
      <c r="BA30" s="39"/>
      <c r="BB30" s="39"/>
      <c r="BC30" s="40"/>
      <c r="BD30" s="40"/>
      <c r="BE30" s="36"/>
      <c r="BF30" s="36"/>
      <c r="BG30" s="41"/>
      <c r="BH30" s="41"/>
      <c r="BI30" s="36"/>
      <c r="BJ30" s="36"/>
      <c r="BK30" s="39"/>
      <c r="BL30" s="36"/>
      <c r="BM30" s="36"/>
      <c r="BN30" s="126"/>
      <c r="BO30" s="32"/>
      <c r="BP30" s="26"/>
      <c r="BQ30" s="6"/>
      <c r="BR30" s="147">
        <f t="shared" si="8"/>
      </c>
      <c r="BS30" s="147">
        <f t="shared" si="9"/>
        <v>1</v>
      </c>
      <c r="BT30" s="147">
        <f t="shared" si="9"/>
      </c>
      <c r="BU30" s="147">
        <f t="shared" si="10"/>
      </c>
      <c r="BV30" s="148"/>
      <c r="BW30" s="149">
        <f t="shared" si="11"/>
      </c>
      <c r="BX30" s="149">
        <f t="shared" si="12"/>
      </c>
      <c r="BY30" s="150">
        <f t="shared" si="13"/>
      </c>
      <c r="BZ30" s="150">
        <f t="shared" si="14"/>
      </c>
      <c r="CA30" s="149">
        <f t="shared" si="15"/>
      </c>
      <c r="CB30" s="149">
        <f t="shared" si="16"/>
      </c>
      <c r="CC30" s="149">
        <f t="shared" si="17"/>
      </c>
      <c r="CD30" s="151">
        <f t="shared" si="18"/>
      </c>
      <c r="CE30" s="32"/>
    </row>
    <row r="31" spans="2:83" s="146" customFormat="1" ht="25.5">
      <c r="B31" s="164" t="s">
        <v>28</v>
      </c>
      <c r="C31" s="95" t="s">
        <v>378</v>
      </c>
      <c r="D31" s="26">
        <v>1</v>
      </c>
      <c r="E31" s="25">
        <v>0</v>
      </c>
      <c r="F31" s="25">
        <v>0</v>
      </c>
      <c r="G31" s="27" t="s">
        <v>36</v>
      </c>
      <c r="H31" s="25">
        <v>0</v>
      </c>
      <c r="I31" s="32"/>
      <c r="J31" s="27" t="s">
        <v>36</v>
      </c>
      <c r="K31" s="27" t="s">
        <v>36</v>
      </c>
      <c r="L31" s="29"/>
      <c r="M31" s="29"/>
      <c r="N31" s="29"/>
      <c r="O31" s="29"/>
      <c r="P31" s="30">
        <f t="shared" si="5"/>
      </c>
      <c r="Q31" s="31"/>
      <c r="R31" s="31"/>
      <c r="S31" s="31"/>
      <c r="T31" s="31"/>
      <c r="U31" s="32"/>
      <c r="V31" s="33"/>
      <c r="W31" s="33"/>
      <c r="X31" s="34"/>
      <c r="Y31" s="34"/>
      <c r="Z31" s="33"/>
      <c r="AA31" s="33"/>
      <c r="AB31" s="33"/>
      <c r="AC31" s="35"/>
      <c r="AD31" s="32"/>
      <c r="AE31" s="36"/>
      <c r="AF31" s="32"/>
      <c r="AG31" s="36"/>
      <c r="AH31" s="32"/>
      <c r="AI31" s="33"/>
      <c r="AJ31" s="37"/>
      <c r="AK31" s="32"/>
      <c r="AL31" s="33"/>
      <c r="AM31" s="37"/>
      <c r="AN31" s="36"/>
      <c r="AO31" s="32"/>
      <c r="AP31" s="36"/>
      <c r="AQ31" s="36"/>
      <c r="AR31" s="32"/>
      <c r="AS31" s="36"/>
      <c r="AT31" s="36"/>
      <c r="AU31" s="32"/>
      <c r="AV31" s="116"/>
      <c r="AW31" s="38"/>
      <c r="AX31" s="38"/>
      <c r="AY31" s="38"/>
      <c r="AZ31" s="36"/>
      <c r="BA31" s="39"/>
      <c r="BB31" s="39"/>
      <c r="BC31" s="40"/>
      <c r="BD31" s="40"/>
      <c r="BE31" s="36"/>
      <c r="BF31" s="36"/>
      <c r="BG31" s="41"/>
      <c r="BH31" s="41"/>
      <c r="BI31" s="36"/>
      <c r="BJ31" s="36"/>
      <c r="BK31" s="39"/>
      <c r="BL31" s="36"/>
      <c r="BM31" s="36"/>
      <c r="BN31" s="126"/>
      <c r="BO31" s="32"/>
      <c r="BP31" s="26"/>
      <c r="BQ31" s="6"/>
      <c r="BR31" s="147">
        <f t="shared" si="8"/>
      </c>
      <c r="BS31" s="147">
        <f t="shared" si="9"/>
      </c>
      <c r="BT31" s="147">
        <f t="shared" si="9"/>
      </c>
      <c r="BU31" s="147">
        <f t="shared" si="10"/>
      </c>
      <c r="BV31" s="148"/>
      <c r="BW31" s="149">
        <f t="shared" si="11"/>
      </c>
      <c r="BX31" s="149">
        <f t="shared" si="12"/>
      </c>
      <c r="BY31" s="150">
        <f t="shared" si="13"/>
      </c>
      <c r="BZ31" s="150">
        <f t="shared" si="14"/>
      </c>
      <c r="CA31" s="149">
        <f t="shared" si="15"/>
      </c>
      <c r="CB31" s="149">
        <f t="shared" si="16"/>
      </c>
      <c r="CC31" s="149">
        <f t="shared" si="17"/>
      </c>
      <c r="CD31" s="151">
        <f t="shared" si="18"/>
      </c>
      <c r="CE31" s="32"/>
    </row>
    <row r="32" spans="2:83" s="146" customFormat="1" ht="22.5">
      <c r="B32" s="96" t="s">
        <v>129</v>
      </c>
      <c r="C32" s="95" t="s">
        <v>378</v>
      </c>
      <c r="D32" s="26">
        <v>1</v>
      </c>
      <c r="E32" s="26">
        <v>1</v>
      </c>
      <c r="F32" s="25">
        <v>0</v>
      </c>
      <c r="G32" s="27" t="s">
        <v>36</v>
      </c>
      <c r="H32" s="25">
        <v>0</v>
      </c>
      <c r="I32" s="42" t="s">
        <v>37</v>
      </c>
      <c r="J32" s="28" t="s">
        <v>130</v>
      </c>
      <c r="K32" s="27"/>
      <c r="L32" s="129"/>
      <c r="M32" s="129"/>
      <c r="N32" s="129"/>
      <c r="O32" s="129"/>
      <c r="P32" s="130">
        <f>IF(SUM(M32:N32)=0,"",SUM(M32:N32)/L32)</f>
      </c>
      <c r="Q32" s="131"/>
      <c r="R32" s="131"/>
      <c r="S32" s="131"/>
      <c r="T32" s="131"/>
      <c r="U32" s="132"/>
      <c r="V32" s="131"/>
      <c r="W32" s="131"/>
      <c r="X32" s="131"/>
      <c r="Y32" s="131"/>
      <c r="Z32" s="131"/>
      <c r="AA32" s="131"/>
      <c r="AB32" s="131"/>
      <c r="AC32" s="131"/>
      <c r="AD32" s="132"/>
      <c r="AE32" s="133"/>
      <c r="AF32" s="132"/>
      <c r="AG32" s="133"/>
      <c r="AH32" s="132"/>
      <c r="AI32" s="131"/>
      <c r="AJ32" s="134"/>
      <c r="AK32" s="132"/>
      <c r="AL32" s="131"/>
      <c r="AM32" s="134"/>
      <c r="AN32" s="133"/>
      <c r="AO32" s="132"/>
      <c r="AP32" s="138"/>
      <c r="AQ32" s="133"/>
      <c r="AR32" s="132"/>
      <c r="AS32" s="138"/>
      <c r="AT32" s="133"/>
      <c r="AU32" s="132"/>
      <c r="AV32" s="135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6"/>
      <c r="BO32" s="132"/>
      <c r="BP32" s="26"/>
      <c r="BQ32" s="6"/>
      <c r="BR32" s="147">
        <f t="shared" si="8"/>
      </c>
      <c r="BS32" s="147">
        <f t="shared" si="9"/>
      </c>
      <c r="BT32" s="147">
        <f t="shared" si="9"/>
      </c>
      <c r="BU32" s="147">
        <f t="shared" si="10"/>
      </c>
      <c r="BV32" s="148"/>
      <c r="BW32" s="149">
        <f t="shared" si="11"/>
      </c>
      <c r="BX32" s="149">
        <f t="shared" si="12"/>
      </c>
      <c r="BY32" s="150">
        <f t="shared" si="13"/>
      </c>
      <c r="BZ32" s="150">
        <f t="shared" si="14"/>
      </c>
      <c r="CA32" s="149">
        <f t="shared" si="15"/>
      </c>
      <c r="CB32" s="149">
        <f t="shared" si="16"/>
      </c>
      <c r="CC32" s="149">
        <f t="shared" si="17"/>
      </c>
      <c r="CD32" s="151">
        <f t="shared" si="18"/>
      </c>
      <c r="CE32" s="132"/>
    </row>
    <row r="33" spans="2:83" s="146" customFormat="1" ht="12.75">
      <c r="B33" s="96" t="s">
        <v>114</v>
      </c>
      <c r="C33" s="95" t="s">
        <v>378</v>
      </c>
      <c r="D33" s="26">
        <v>1</v>
      </c>
      <c r="E33" s="26">
        <v>2</v>
      </c>
      <c r="F33" s="25">
        <v>0</v>
      </c>
      <c r="G33" s="27" t="s">
        <v>36</v>
      </c>
      <c r="H33" s="25">
        <v>0</v>
      </c>
      <c r="I33" s="32"/>
      <c r="J33" s="28" t="s">
        <v>116</v>
      </c>
      <c r="K33" s="28" t="s">
        <v>115</v>
      </c>
      <c r="L33" s="29">
        <v>130</v>
      </c>
      <c r="M33" s="29">
        <v>2</v>
      </c>
      <c r="N33" s="29">
        <v>1</v>
      </c>
      <c r="O33" s="29"/>
      <c r="P33" s="30">
        <f t="shared" si="5"/>
        <v>0.023076923076923078</v>
      </c>
      <c r="Q33" s="31"/>
      <c r="R33" s="31"/>
      <c r="S33" s="31"/>
      <c r="T33" s="31"/>
      <c r="U33" s="42" t="s">
        <v>37</v>
      </c>
      <c r="V33" s="33"/>
      <c r="W33" s="33"/>
      <c r="X33" s="34"/>
      <c r="Y33" s="34"/>
      <c r="Z33" s="33"/>
      <c r="AA33" s="33"/>
      <c r="AB33" s="33"/>
      <c r="AC33" s="35"/>
      <c r="AD33" s="42" t="s">
        <v>37</v>
      </c>
      <c r="AE33" s="36">
        <v>1</v>
      </c>
      <c r="AF33" s="42" t="s">
        <v>37</v>
      </c>
      <c r="AG33" s="104" t="s">
        <v>37</v>
      </c>
      <c r="AH33" s="42" t="s">
        <v>37</v>
      </c>
      <c r="AI33" s="33">
        <v>1</v>
      </c>
      <c r="AJ33" s="43" t="s">
        <v>37</v>
      </c>
      <c r="AK33" s="42" t="s">
        <v>37</v>
      </c>
      <c r="AL33" s="33">
        <v>0.25</v>
      </c>
      <c r="AM33" s="43" t="s">
        <v>37</v>
      </c>
      <c r="AN33" s="43" t="s">
        <v>37</v>
      </c>
      <c r="AO33" s="42" t="s">
        <v>37</v>
      </c>
      <c r="AP33" s="38">
        <v>0</v>
      </c>
      <c r="AQ33" s="43" t="s">
        <v>37</v>
      </c>
      <c r="AR33" s="42" t="s">
        <v>37</v>
      </c>
      <c r="AS33" s="38">
        <v>0</v>
      </c>
      <c r="AT33" s="43" t="s">
        <v>37</v>
      </c>
      <c r="AU33" s="42" t="s">
        <v>37</v>
      </c>
      <c r="AV33" s="116">
        <v>1</v>
      </c>
      <c r="AW33" s="38"/>
      <c r="AX33" s="38"/>
      <c r="AY33" s="38">
        <v>1</v>
      </c>
      <c r="AZ33" s="36">
        <v>1</v>
      </c>
      <c r="BA33" s="39">
        <v>1</v>
      </c>
      <c r="BB33" s="39"/>
      <c r="BC33" s="40"/>
      <c r="BD33" s="40"/>
      <c r="BE33" s="36"/>
      <c r="BF33" s="36">
        <v>1</v>
      </c>
      <c r="BG33" s="41">
        <v>1</v>
      </c>
      <c r="BH33" s="41">
        <v>1</v>
      </c>
      <c r="BI33" s="36"/>
      <c r="BJ33" s="36">
        <v>1</v>
      </c>
      <c r="BK33" s="39"/>
      <c r="BL33" s="36"/>
      <c r="BM33" s="36">
        <v>1</v>
      </c>
      <c r="BN33" s="126">
        <v>1</v>
      </c>
      <c r="BO33" s="42" t="s">
        <v>37</v>
      </c>
      <c r="BP33" s="26"/>
      <c r="BQ33" s="6"/>
      <c r="BR33" s="147">
        <f t="shared" si="8"/>
      </c>
      <c r="BS33" s="147">
        <f t="shared" si="9"/>
      </c>
      <c r="BT33" s="147">
        <f t="shared" si="9"/>
      </c>
      <c r="BU33" s="147">
        <f t="shared" si="10"/>
      </c>
      <c r="BV33" s="148"/>
      <c r="BW33" s="149">
        <f t="shared" si="11"/>
      </c>
      <c r="BX33" s="149">
        <f t="shared" si="12"/>
      </c>
      <c r="BY33" s="150">
        <f t="shared" si="13"/>
      </c>
      <c r="BZ33" s="150">
        <f t="shared" si="14"/>
      </c>
      <c r="CA33" s="149">
        <f t="shared" si="15"/>
      </c>
      <c r="CB33" s="149">
        <f t="shared" si="16"/>
      </c>
      <c r="CC33" s="149">
        <f t="shared" si="17"/>
      </c>
      <c r="CD33" s="151">
        <f t="shared" si="18"/>
      </c>
      <c r="CE33" s="42" t="s">
        <v>37</v>
      </c>
    </row>
    <row r="34" spans="2:83" s="146" customFormat="1" ht="12.75">
      <c r="B34" s="96" t="s">
        <v>218</v>
      </c>
      <c r="C34" s="95" t="s">
        <v>378</v>
      </c>
      <c r="D34" s="25">
        <v>0</v>
      </c>
      <c r="E34" s="170">
        <v>2</v>
      </c>
      <c r="F34" s="25"/>
      <c r="G34" s="48" t="s">
        <v>270</v>
      </c>
      <c r="H34" s="25"/>
      <c r="I34" s="32"/>
      <c r="J34" s="28"/>
      <c r="K34" s="172" t="s">
        <v>269</v>
      </c>
      <c r="L34" s="29">
        <v>1937</v>
      </c>
      <c r="M34" s="29">
        <v>27.5</v>
      </c>
      <c r="N34" s="29">
        <v>0.1</v>
      </c>
      <c r="O34" s="29"/>
      <c r="P34" s="30">
        <f t="shared" si="5"/>
        <v>0.014248838409912236</v>
      </c>
      <c r="Q34" s="31"/>
      <c r="R34" s="31"/>
      <c r="S34" s="31"/>
      <c r="T34" s="31"/>
      <c r="U34" s="42"/>
      <c r="V34" s="33"/>
      <c r="W34" s="33"/>
      <c r="X34" s="34"/>
      <c r="Y34" s="34"/>
      <c r="Z34" s="33"/>
      <c r="AA34" s="33"/>
      <c r="AB34" s="33"/>
      <c r="AC34" s="35"/>
      <c r="AD34" s="42"/>
      <c r="AE34" s="36"/>
      <c r="AF34" s="42"/>
      <c r="AG34" s="104"/>
      <c r="AH34" s="42"/>
      <c r="AI34" s="33"/>
      <c r="AJ34" s="43"/>
      <c r="AK34" s="42"/>
      <c r="AL34" s="33"/>
      <c r="AM34" s="43"/>
      <c r="AN34" s="43"/>
      <c r="AO34" s="42"/>
      <c r="AP34" s="38"/>
      <c r="AQ34" s="43"/>
      <c r="AR34" s="42"/>
      <c r="AS34" s="38"/>
      <c r="AT34" s="43"/>
      <c r="AU34" s="42"/>
      <c r="AV34" s="116">
        <v>1</v>
      </c>
      <c r="AW34" s="38">
        <v>1</v>
      </c>
      <c r="AX34" s="38"/>
      <c r="AY34" s="38"/>
      <c r="AZ34" s="36">
        <v>1</v>
      </c>
      <c r="BA34" s="39"/>
      <c r="BB34" s="39"/>
      <c r="BC34" s="40"/>
      <c r="BD34" s="40"/>
      <c r="BE34" s="146">
        <v>1</v>
      </c>
      <c r="BF34" s="36"/>
      <c r="BG34" s="41">
        <v>1</v>
      </c>
      <c r="BH34" s="41">
        <v>1</v>
      </c>
      <c r="BI34" s="36">
        <v>1</v>
      </c>
      <c r="BJ34" s="36">
        <v>1</v>
      </c>
      <c r="BK34" s="39"/>
      <c r="BL34" s="36"/>
      <c r="BM34" s="36"/>
      <c r="BN34" s="126">
        <v>1</v>
      </c>
      <c r="BO34" s="42"/>
      <c r="BP34" s="26"/>
      <c r="BQ34" s="6"/>
      <c r="BR34" s="147"/>
      <c r="BS34" s="147"/>
      <c r="BT34" s="147"/>
      <c r="BU34" s="147"/>
      <c r="BV34" s="148"/>
      <c r="BW34" s="149"/>
      <c r="BX34" s="149"/>
      <c r="BY34" s="150"/>
      <c r="BZ34" s="150"/>
      <c r="CA34" s="149"/>
      <c r="CB34" s="149"/>
      <c r="CC34" s="149"/>
      <c r="CD34" s="151"/>
      <c r="CE34" s="42"/>
    </row>
    <row r="35" spans="2:83" s="146" customFormat="1" ht="12.75">
      <c r="B35" s="96" t="s">
        <v>27</v>
      </c>
      <c r="C35" s="95" t="s">
        <v>378</v>
      </c>
      <c r="D35" s="26">
        <v>1</v>
      </c>
      <c r="E35" s="25">
        <v>0</v>
      </c>
      <c r="F35" s="25">
        <v>0</v>
      </c>
      <c r="G35" s="27" t="s">
        <v>36</v>
      </c>
      <c r="H35" s="25">
        <v>0</v>
      </c>
      <c r="I35" s="32"/>
      <c r="J35" s="27" t="s">
        <v>36</v>
      </c>
      <c r="K35" s="27" t="s">
        <v>36</v>
      </c>
      <c r="L35" s="29">
        <v>9</v>
      </c>
      <c r="M35" s="55">
        <v>0.2</v>
      </c>
      <c r="N35" s="29">
        <v>0.1</v>
      </c>
      <c r="O35" s="29"/>
      <c r="P35" s="30">
        <f t="shared" si="5"/>
        <v>0.03333333333333334</v>
      </c>
      <c r="Q35" s="31"/>
      <c r="R35" s="31">
        <v>1</v>
      </c>
      <c r="S35" s="31"/>
      <c r="T35" s="31"/>
      <c r="U35" s="32"/>
      <c r="V35" s="33"/>
      <c r="W35" s="33"/>
      <c r="X35" s="34"/>
      <c r="Y35" s="34"/>
      <c r="Z35" s="33"/>
      <c r="AA35" s="33"/>
      <c r="AB35" s="33"/>
      <c r="AC35" s="35"/>
      <c r="AD35" s="32"/>
      <c r="AE35" s="36"/>
      <c r="AF35" s="32"/>
      <c r="AG35" s="36"/>
      <c r="AH35" s="32"/>
      <c r="AI35" s="33"/>
      <c r="AJ35" s="37"/>
      <c r="AK35" s="32"/>
      <c r="AL35" s="33"/>
      <c r="AM35" s="37"/>
      <c r="AN35" s="36"/>
      <c r="AO35" s="32"/>
      <c r="AP35" s="36"/>
      <c r="AQ35" s="36"/>
      <c r="AR35" s="32"/>
      <c r="AS35" s="36"/>
      <c r="AT35" s="36"/>
      <c r="AU35" s="32"/>
      <c r="AV35" s="116"/>
      <c r="AW35" s="38"/>
      <c r="AX35" s="38"/>
      <c r="AY35" s="38"/>
      <c r="AZ35" s="36"/>
      <c r="BA35" s="39"/>
      <c r="BB35" s="39"/>
      <c r="BC35" s="40"/>
      <c r="BD35" s="40"/>
      <c r="BE35" s="36"/>
      <c r="BF35" s="36"/>
      <c r="BG35" s="41"/>
      <c r="BH35" s="41"/>
      <c r="BI35" s="36"/>
      <c r="BJ35" s="36"/>
      <c r="BK35" s="39"/>
      <c r="BL35" s="36"/>
      <c r="BM35" s="36"/>
      <c r="BN35" s="126"/>
      <c r="BO35" s="32"/>
      <c r="BP35" s="26"/>
      <c r="BQ35" s="6"/>
      <c r="BR35" s="147">
        <f t="shared" si="8"/>
      </c>
      <c r="BS35" s="147">
        <f t="shared" si="9"/>
        <v>0.1</v>
      </c>
      <c r="BT35" s="147">
        <f t="shared" si="9"/>
      </c>
      <c r="BU35" s="147">
        <f t="shared" si="10"/>
      </c>
      <c r="BV35" s="148"/>
      <c r="BW35" s="149">
        <f t="shared" si="11"/>
      </c>
      <c r="BX35" s="149">
        <f t="shared" si="12"/>
      </c>
      <c r="BY35" s="150">
        <f t="shared" si="13"/>
      </c>
      <c r="BZ35" s="150">
        <f t="shared" si="14"/>
      </c>
      <c r="CA35" s="149">
        <f t="shared" si="15"/>
      </c>
      <c r="CB35" s="149">
        <f t="shared" si="16"/>
      </c>
      <c r="CC35" s="149">
        <f t="shared" si="17"/>
      </c>
      <c r="CD35" s="151">
        <f t="shared" si="18"/>
      </c>
      <c r="CE35" s="32"/>
    </row>
    <row r="36" spans="2:83" s="146" customFormat="1" ht="82.5" customHeight="1">
      <c r="B36" s="164" t="s">
        <v>150</v>
      </c>
      <c r="C36" s="95" t="s">
        <v>378</v>
      </c>
      <c r="D36" s="26">
        <v>1</v>
      </c>
      <c r="E36" s="25">
        <v>0</v>
      </c>
      <c r="F36" s="25">
        <v>0</v>
      </c>
      <c r="G36" s="27" t="s">
        <v>36</v>
      </c>
      <c r="H36" s="25">
        <v>0</v>
      </c>
      <c r="I36" s="32" t="s">
        <v>176</v>
      </c>
      <c r="J36" s="28" t="s">
        <v>151</v>
      </c>
      <c r="K36" s="27" t="s">
        <v>36</v>
      </c>
      <c r="L36" s="29">
        <v>150</v>
      </c>
      <c r="M36" s="55">
        <v>2.5</v>
      </c>
      <c r="N36" s="29">
        <v>0.1</v>
      </c>
      <c r="O36" s="29"/>
      <c r="P36" s="30">
        <f>IF(SUM(M36:N36)=0,"",SUM(M36:N36)/L36)</f>
        <v>0.017333333333333333</v>
      </c>
      <c r="Q36" s="31"/>
      <c r="R36" s="31"/>
      <c r="S36" s="31"/>
      <c r="T36" s="31"/>
      <c r="U36" s="32"/>
      <c r="V36" s="33"/>
      <c r="W36" s="33"/>
      <c r="X36" s="34"/>
      <c r="Y36" s="34"/>
      <c r="Z36" s="33"/>
      <c r="AA36" s="33"/>
      <c r="AB36" s="33"/>
      <c r="AC36" s="35"/>
      <c r="AD36" s="32"/>
      <c r="AE36" s="36"/>
      <c r="AF36" s="32"/>
      <c r="AG36" s="36"/>
      <c r="AH36" s="32"/>
      <c r="AI36" s="33"/>
      <c r="AJ36" s="37"/>
      <c r="AK36" s="32"/>
      <c r="AL36" s="33"/>
      <c r="AM36" s="37"/>
      <c r="AN36" s="36"/>
      <c r="AO36" s="32"/>
      <c r="AP36" s="36"/>
      <c r="AQ36" s="36"/>
      <c r="AR36" s="32"/>
      <c r="AS36" s="36"/>
      <c r="AT36" s="36"/>
      <c r="AU36" s="32"/>
      <c r="AV36" s="116"/>
      <c r="AW36" s="38"/>
      <c r="AX36" s="38"/>
      <c r="AY36" s="38"/>
      <c r="AZ36" s="36"/>
      <c r="BA36" s="39"/>
      <c r="BB36" s="39"/>
      <c r="BC36" s="40"/>
      <c r="BD36" s="40"/>
      <c r="BE36" s="36"/>
      <c r="BF36" s="36"/>
      <c r="BG36" s="41"/>
      <c r="BH36" s="36">
        <v>1</v>
      </c>
      <c r="BI36" s="36"/>
      <c r="BJ36" s="36"/>
      <c r="BK36" s="39"/>
      <c r="BL36" s="36"/>
      <c r="BM36" s="36"/>
      <c r="BN36" s="126"/>
      <c r="BO36" s="32"/>
      <c r="BP36" s="26"/>
      <c r="BQ36" s="6"/>
      <c r="BR36" s="147">
        <f t="shared" si="8"/>
      </c>
      <c r="BS36" s="147">
        <f t="shared" si="9"/>
      </c>
      <c r="BT36" s="147">
        <f t="shared" si="9"/>
      </c>
      <c r="BU36" s="147">
        <f t="shared" si="10"/>
      </c>
      <c r="BV36" s="148"/>
      <c r="BW36" s="149">
        <f t="shared" si="11"/>
      </c>
      <c r="BX36" s="149">
        <f t="shared" si="12"/>
      </c>
      <c r="BY36" s="150">
        <f t="shared" si="13"/>
      </c>
      <c r="BZ36" s="150">
        <f t="shared" si="14"/>
      </c>
      <c r="CA36" s="149">
        <f t="shared" si="15"/>
      </c>
      <c r="CB36" s="149">
        <f t="shared" si="16"/>
      </c>
      <c r="CC36" s="149">
        <f t="shared" si="17"/>
      </c>
      <c r="CD36" s="151">
        <f t="shared" si="18"/>
      </c>
      <c r="CE36" s="32"/>
    </row>
    <row r="37" spans="2:83" s="146" customFormat="1" ht="39.75" customHeight="1">
      <c r="B37" s="97" t="s">
        <v>258</v>
      </c>
      <c r="C37" s="254" t="s">
        <v>379</v>
      </c>
      <c r="D37" s="26">
        <v>1</v>
      </c>
      <c r="E37" s="142">
        <v>4</v>
      </c>
      <c r="F37" s="44">
        <v>1</v>
      </c>
      <c r="G37" s="159" t="s">
        <v>30</v>
      </c>
      <c r="H37" s="44">
        <v>30</v>
      </c>
      <c r="I37" s="32"/>
      <c r="J37" s="27" t="s">
        <v>36</v>
      </c>
      <c r="K37" s="28" t="s">
        <v>266</v>
      </c>
      <c r="L37" s="29">
        <v>8000</v>
      </c>
      <c r="M37" s="29">
        <v>315</v>
      </c>
      <c r="N37" s="29">
        <v>250</v>
      </c>
      <c r="O37" s="29"/>
      <c r="P37" s="30">
        <f t="shared" si="5"/>
        <v>0.070625</v>
      </c>
      <c r="Q37" s="31">
        <v>0.1</v>
      </c>
      <c r="R37" s="31">
        <v>0.85</v>
      </c>
      <c r="S37" s="31"/>
      <c r="T37" s="31">
        <v>0.05</v>
      </c>
      <c r="U37" s="32" t="s">
        <v>7</v>
      </c>
      <c r="V37" s="33"/>
      <c r="W37" s="33"/>
      <c r="X37" s="34"/>
      <c r="Y37" s="34"/>
      <c r="Z37" s="33"/>
      <c r="AA37" s="33"/>
      <c r="AB37" s="33"/>
      <c r="AC37" s="35"/>
      <c r="AD37" s="32"/>
      <c r="AE37" s="36">
        <v>1</v>
      </c>
      <c r="AF37" s="32"/>
      <c r="AG37" s="36"/>
      <c r="AH37" s="32"/>
      <c r="AI37" s="33"/>
      <c r="AJ37" s="37"/>
      <c r="AK37" s="32"/>
      <c r="AL37" s="33"/>
      <c r="AM37" s="37"/>
      <c r="AN37" s="36"/>
      <c r="AO37" s="32"/>
      <c r="AP37" s="16"/>
      <c r="AQ37" s="36"/>
      <c r="AR37" s="32"/>
      <c r="AS37" s="36"/>
      <c r="AT37" s="36"/>
      <c r="AU37" s="32"/>
      <c r="AV37" s="116"/>
      <c r="AW37" s="38"/>
      <c r="AX37" s="38"/>
      <c r="AY37" s="38"/>
      <c r="AZ37" s="36"/>
      <c r="BA37" s="39"/>
      <c r="BB37" s="39"/>
      <c r="BC37" s="40"/>
      <c r="BD37" s="40"/>
      <c r="BE37" s="36"/>
      <c r="BF37" s="36"/>
      <c r="BG37" s="41"/>
      <c r="BH37" s="41"/>
      <c r="BI37" s="36"/>
      <c r="BJ37" s="36"/>
      <c r="BK37" s="39"/>
      <c r="BL37" s="36"/>
      <c r="BM37" s="36"/>
      <c r="BN37" s="126"/>
      <c r="BO37" s="32"/>
      <c r="BP37" s="26"/>
      <c r="BQ37" s="6"/>
      <c r="BR37" s="147">
        <f t="shared" si="8"/>
        <v>25</v>
      </c>
      <c r="BS37" s="147">
        <f t="shared" si="9"/>
        <v>212.5</v>
      </c>
      <c r="BT37" s="147">
        <f t="shared" si="9"/>
      </c>
      <c r="BU37" s="147">
        <f t="shared" si="10"/>
        <v>12.5</v>
      </c>
      <c r="BV37" s="148"/>
      <c r="BW37" s="149">
        <f t="shared" si="11"/>
      </c>
      <c r="BX37" s="149">
        <f t="shared" si="12"/>
      </c>
      <c r="BY37" s="150">
        <f t="shared" si="13"/>
      </c>
      <c r="BZ37" s="150">
        <f t="shared" si="14"/>
      </c>
      <c r="CA37" s="149">
        <f t="shared" si="15"/>
      </c>
      <c r="CB37" s="149">
        <f t="shared" si="16"/>
      </c>
      <c r="CC37" s="149">
        <f t="shared" si="17"/>
      </c>
      <c r="CD37" s="151">
        <f t="shared" si="18"/>
      </c>
      <c r="CE37" s="32"/>
    </row>
    <row r="38" spans="2:83" s="146" customFormat="1" ht="12.75">
      <c r="B38" s="97" t="s">
        <v>257</v>
      </c>
      <c r="C38" s="254" t="s">
        <v>379</v>
      </c>
      <c r="D38" s="26">
        <v>1</v>
      </c>
      <c r="E38" s="26">
        <v>8</v>
      </c>
      <c r="F38" s="25">
        <v>0</v>
      </c>
      <c r="G38" s="27" t="s">
        <v>36</v>
      </c>
      <c r="H38" s="25">
        <v>0</v>
      </c>
      <c r="I38" s="42"/>
      <c r="J38" s="28"/>
      <c r="K38" s="28" t="s">
        <v>31</v>
      </c>
      <c r="L38" s="29"/>
      <c r="M38" s="29"/>
      <c r="N38" s="29"/>
      <c r="O38" s="29"/>
      <c r="P38" s="30">
        <f t="shared" si="5"/>
      </c>
      <c r="Q38" s="31">
        <v>0.1</v>
      </c>
      <c r="R38" s="31">
        <v>0.85</v>
      </c>
      <c r="S38" s="31"/>
      <c r="T38" s="31">
        <v>0.05</v>
      </c>
      <c r="U38" s="42" t="s">
        <v>37</v>
      </c>
      <c r="V38" s="33"/>
      <c r="W38" s="33"/>
      <c r="X38" s="34"/>
      <c r="Y38" s="34"/>
      <c r="Z38" s="33"/>
      <c r="AA38" s="33"/>
      <c r="AB38" s="33"/>
      <c r="AC38" s="35"/>
      <c r="AD38" s="32"/>
      <c r="AE38" s="36"/>
      <c r="AF38" s="32"/>
      <c r="AG38" s="36"/>
      <c r="AH38" s="32"/>
      <c r="AI38" s="33"/>
      <c r="AJ38" s="37"/>
      <c r="AK38" s="32"/>
      <c r="AL38" s="33"/>
      <c r="AM38" s="37"/>
      <c r="AN38" s="36"/>
      <c r="AO38" s="32"/>
      <c r="AP38" s="36"/>
      <c r="AQ38" s="36"/>
      <c r="AR38" s="32"/>
      <c r="AS38" s="36"/>
      <c r="AT38" s="36"/>
      <c r="AU38" s="32"/>
      <c r="AV38" s="116"/>
      <c r="AW38" s="38"/>
      <c r="AX38" s="38"/>
      <c r="AY38" s="38"/>
      <c r="AZ38" s="36"/>
      <c r="BA38" s="39"/>
      <c r="BB38" s="39"/>
      <c r="BC38" s="40"/>
      <c r="BD38" s="40"/>
      <c r="BE38" s="36"/>
      <c r="BF38" s="36"/>
      <c r="BG38" s="41"/>
      <c r="BH38" s="41"/>
      <c r="BI38" s="36"/>
      <c r="BJ38" s="36"/>
      <c r="BK38" s="39"/>
      <c r="BL38" s="36"/>
      <c r="BM38" s="36"/>
      <c r="BN38" s="126"/>
      <c r="BO38" s="32"/>
      <c r="BP38" s="26"/>
      <c r="BQ38" s="6"/>
      <c r="BR38" s="147">
        <f t="shared" si="8"/>
        <v>0</v>
      </c>
      <c r="BS38" s="147">
        <f t="shared" si="9"/>
        <v>0</v>
      </c>
      <c r="BT38" s="147">
        <f t="shared" si="9"/>
      </c>
      <c r="BU38" s="147">
        <f t="shared" si="10"/>
        <v>0</v>
      </c>
      <c r="BV38" s="148"/>
      <c r="BW38" s="149">
        <f t="shared" si="11"/>
      </c>
      <c r="BX38" s="149">
        <f t="shared" si="12"/>
      </c>
      <c r="BY38" s="150">
        <f t="shared" si="13"/>
      </c>
      <c r="BZ38" s="150">
        <f t="shared" si="14"/>
      </c>
      <c r="CA38" s="149">
        <f t="shared" si="15"/>
      </c>
      <c r="CB38" s="149">
        <f t="shared" si="16"/>
      </c>
      <c r="CC38" s="149">
        <f t="shared" si="17"/>
      </c>
      <c r="CD38" s="151">
        <f t="shared" si="18"/>
      </c>
      <c r="CE38" s="32"/>
    </row>
    <row r="39" spans="2:83" s="146" customFormat="1" ht="25.5">
      <c r="B39" s="97" t="s">
        <v>263</v>
      </c>
      <c r="C39" s="254" t="s">
        <v>379</v>
      </c>
      <c r="D39" s="25">
        <v>0</v>
      </c>
      <c r="E39" s="26">
        <v>2</v>
      </c>
      <c r="F39" s="25">
        <v>0</v>
      </c>
      <c r="G39" s="27" t="s">
        <v>36</v>
      </c>
      <c r="H39" s="25">
        <v>0</v>
      </c>
      <c r="I39" s="32"/>
      <c r="J39" s="27" t="s">
        <v>36</v>
      </c>
      <c r="K39" s="28" t="s">
        <v>364</v>
      </c>
      <c r="L39" s="129"/>
      <c r="M39" s="129"/>
      <c r="N39" s="129"/>
      <c r="O39" s="129"/>
      <c r="P39" s="130">
        <f t="shared" si="5"/>
      </c>
      <c r="Q39" s="131"/>
      <c r="R39" s="131"/>
      <c r="S39" s="131"/>
      <c r="T39" s="131"/>
      <c r="U39" s="132"/>
      <c r="V39" s="131"/>
      <c r="W39" s="131"/>
      <c r="X39" s="131"/>
      <c r="Y39" s="131"/>
      <c r="Z39" s="131"/>
      <c r="AA39" s="131"/>
      <c r="AB39" s="131"/>
      <c r="AC39" s="131"/>
      <c r="AD39" s="132"/>
      <c r="AE39" s="133"/>
      <c r="AF39" s="132"/>
      <c r="AG39" s="133"/>
      <c r="AH39" s="132"/>
      <c r="AI39" s="131"/>
      <c r="AJ39" s="134"/>
      <c r="AK39" s="132"/>
      <c r="AL39" s="131"/>
      <c r="AM39" s="134"/>
      <c r="AN39" s="133"/>
      <c r="AO39" s="132"/>
      <c r="AP39" s="138"/>
      <c r="AQ39" s="133"/>
      <c r="AR39" s="132"/>
      <c r="AS39" s="138"/>
      <c r="AT39" s="133"/>
      <c r="AU39" s="132"/>
      <c r="AV39" s="135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6"/>
      <c r="BO39" s="132"/>
      <c r="BP39" s="26"/>
      <c r="BQ39" s="6"/>
      <c r="BR39" s="147">
        <f t="shared" si="8"/>
      </c>
      <c r="BS39" s="147">
        <f t="shared" si="9"/>
      </c>
      <c r="BT39" s="147">
        <f t="shared" si="9"/>
      </c>
      <c r="BU39" s="147">
        <f t="shared" si="10"/>
      </c>
      <c r="BV39" s="148"/>
      <c r="BW39" s="149">
        <f t="shared" si="11"/>
      </c>
      <c r="BX39" s="149">
        <f t="shared" si="12"/>
      </c>
      <c r="BY39" s="150">
        <f t="shared" si="13"/>
      </c>
      <c r="BZ39" s="150">
        <f t="shared" si="14"/>
      </c>
      <c r="CA39" s="149">
        <f t="shared" si="15"/>
      </c>
      <c r="CB39" s="149">
        <f t="shared" si="16"/>
      </c>
      <c r="CC39" s="149">
        <f t="shared" si="17"/>
      </c>
      <c r="CD39" s="151">
        <f t="shared" si="18"/>
      </c>
      <c r="CE39" s="132"/>
    </row>
    <row r="40" spans="2:83" s="146" customFormat="1" ht="12.75">
      <c r="B40" s="97" t="s">
        <v>259</v>
      </c>
      <c r="C40" s="254" t="s">
        <v>379</v>
      </c>
      <c r="D40" s="25">
        <v>0</v>
      </c>
      <c r="E40" s="142">
        <v>4</v>
      </c>
      <c r="F40" s="25">
        <v>0</v>
      </c>
      <c r="G40" s="27" t="s">
        <v>36</v>
      </c>
      <c r="H40" s="25">
        <v>0</v>
      </c>
      <c r="I40" s="32"/>
      <c r="J40" s="27"/>
      <c r="K40" s="28" t="s">
        <v>196</v>
      </c>
      <c r="L40" s="129"/>
      <c r="M40" s="129"/>
      <c r="N40" s="129"/>
      <c r="O40" s="129"/>
      <c r="P40" s="130"/>
      <c r="Q40" s="131"/>
      <c r="R40" s="131"/>
      <c r="S40" s="131"/>
      <c r="T40" s="131"/>
      <c r="U40" s="132"/>
      <c r="V40" s="131"/>
      <c r="W40" s="131"/>
      <c r="X40" s="131"/>
      <c r="Y40" s="131"/>
      <c r="Z40" s="131"/>
      <c r="AA40" s="131"/>
      <c r="AB40" s="131"/>
      <c r="AC40" s="131"/>
      <c r="AD40" s="132"/>
      <c r="AE40" s="133"/>
      <c r="AF40" s="132"/>
      <c r="AG40" s="133"/>
      <c r="AH40" s="132"/>
      <c r="AI40" s="131"/>
      <c r="AJ40" s="134"/>
      <c r="AK40" s="132"/>
      <c r="AL40" s="131"/>
      <c r="AM40" s="134"/>
      <c r="AN40" s="133"/>
      <c r="AO40" s="132"/>
      <c r="AP40" s="138"/>
      <c r="AQ40" s="133"/>
      <c r="AR40" s="132"/>
      <c r="AS40" s="138"/>
      <c r="AT40" s="133"/>
      <c r="AU40" s="132"/>
      <c r="AV40" s="135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6"/>
      <c r="BO40" s="132"/>
      <c r="BP40" s="26"/>
      <c r="BQ40" s="6"/>
      <c r="BR40" s="147">
        <f t="shared" si="8"/>
      </c>
      <c r="BS40" s="147">
        <f t="shared" si="9"/>
      </c>
      <c r="BT40" s="147">
        <f t="shared" si="9"/>
      </c>
      <c r="BU40" s="147">
        <f t="shared" si="10"/>
      </c>
      <c r="BV40" s="148"/>
      <c r="BW40" s="149">
        <f t="shared" si="11"/>
      </c>
      <c r="BX40" s="149">
        <f t="shared" si="12"/>
      </c>
      <c r="BY40" s="150">
        <f t="shared" si="13"/>
      </c>
      <c r="BZ40" s="150">
        <f t="shared" si="14"/>
      </c>
      <c r="CA40" s="149">
        <f t="shared" si="15"/>
      </c>
      <c r="CB40" s="149">
        <f t="shared" si="16"/>
      </c>
      <c r="CC40" s="149">
        <f t="shared" si="17"/>
      </c>
      <c r="CD40" s="151">
        <f t="shared" si="18"/>
      </c>
      <c r="CE40" s="132"/>
    </row>
    <row r="41" spans="2:83" s="146" customFormat="1" ht="25.5">
      <c r="B41" s="97" t="s">
        <v>261</v>
      </c>
      <c r="C41" s="254" t="s">
        <v>379</v>
      </c>
      <c r="D41" s="25">
        <v>0</v>
      </c>
      <c r="E41" s="142">
        <v>4</v>
      </c>
      <c r="F41" s="25">
        <v>0</v>
      </c>
      <c r="G41" s="27" t="s">
        <v>36</v>
      </c>
      <c r="H41" s="25">
        <v>0</v>
      </c>
      <c r="I41" s="32"/>
      <c r="J41" s="27"/>
      <c r="K41" s="169" t="s">
        <v>213</v>
      </c>
      <c r="L41" s="129"/>
      <c r="M41" s="129"/>
      <c r="N41" s="129"/>
      <c r="O41" s="129"/>
      <c r="P41" s="130"/>
      <c r="Q41" s="131"/>
      <c r="R41" s="131"/>
      <c r="S41" s="131"/>
      <c r="T41" s="131"/>
      <c r="U41" s="132"/>
      <c r="V41" s="131"/>
      <c r="W41" s="131"/>
      <c r="X41" s="131"/>
      <c r="Y41" s="131"/>
      <c r="Z41" s="131"/>
      <c r="AA41" s="131"/>
      <c r="AB41" s="131"/>
      <c r="AC41" s="131"/>
      <c r="AD41" s="132"/>
      <c r="AE41" s="133"/>
      <c r="AF41" s="132"/>
      <c r="AG41" s="133"/>
      <c r="AH41" s="132"/>
      <c r="AI41" s="131"/>
      <c r="AJ41" s="134"/>
      <c r="AK41" s="132"/>
      <c r="AL41" s="131"/>
      <c r="AM41" s="134"/>
      <c r="AN41" s="133"/>
      <c r="AO41" s="132"/>
      <c r="AP41" s="138"/>
      <c r="AQ41" s="133"/>
      <c r="AR41" s="132"/>
      <c r="AS41" s="138"/>
      <c r="AT41" s="133"/>
      <c r="AU41" s="132"/>
      <c r="AV41" s="135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6"/>
      <c r="BO41" s="132"/>
      <c r="BP41" s="26"/>
      <c r="BQ41" s="6"/>
      <c r="BR41" s="147"/>
      <c r="BS41" s="147"/>
      <c r="BT41" s="147"/>
      <c r="BU41" s="147"/>
      <c r="BV41" s="148"/>
      <c r="BW41" s="149"/>
      <c r="BX41" s="149"/>
      <c r="BY41" s="150"/>
      <c r="BZ41" s="150"/>
      <c r="CA41" s="149"/>
      <c r="CB41" s="149"/>
      <c r="CC41" s="149"/>
      <c r="CD41" s="151"/>
      <c r="CE41" s="132"/>
    </row>
    <row r="42" spans="2:83" s="146" customFormat="1" ht="25.5">
      <c r="B42" s="97" t="s">
        <v>260</v>
      </c>
      <c r="C42" s="254" t="s">
        <v>379</v>
      </c>
      <c r="D42" s="25">
        <v>0</v>
      </c>
      <c r="E42" s="170">
        <v>2</v>
      </c>
      <c r="F42" s="25">
        <v>0</v>
      </c>
      <c r="G42" s="27" t="s">
        <v>36</v>
      </c>
      <c r="H42" s="25">
        <v>0</v>
      </c>
      <c r="I42" s="32"/>
      <c r="J42" s="169" t="s">
        <v>255</v>
      </c>
      <c r="K42" s="169" t="s">
        <v>256</v>
      </c>
      <c r="L42" s="129"/>
      <c r="M42" s="129"/>
      <c r="N42" s="129"/>
      <c r="O42" s="129"/>
      <c r="P42" s="130"/>
      <c r="Q42" s="131"/>
      <c r="R42" s="131"/>
      <c r="S42" s="131"/>
      <c r="T42" s="131"/>
      <c r="U42" s="132"/>
      <c r="V42" s="131"/>
      <c r="W42" s="131"/>
      <c r="X42" s="131"/>
      <c r="Y42" s="131"/>
      <c r="Z42" s="131"/>
      <c r="AA42" s="131"/>
      <c r="AB42" s="131"/>
      <c r="AC42" s="131"/>
      <c r="AD42" s="132"/>
      <c r="AE42" s="133"/>
      <c r="AF42" s="132"/>
      <c r="AG42" s="133"/>
      <c r="AH42" s="132"/>
      <c r="AI42" s="131"/>
      <c r="AJ42" s="134"/>
      <c r="AK42" s="132"/>
      <c r="AL42" s="131"/>
      <c r="AM42" s="134"/>
      <c r="AN42" s="133"/>
      <c r="AO42" s="132"/>
      <c r="AP42" s="138"/>
      <c r="AQ42" s="133"/>
      <c r="AR42" s="132"/>
      <c r="AS42" s="138"/>
      <c r="AT42" s="133"/>
      <c r="AU42" s="132"/>
      <c r="AV42" s="135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6"/>
      <c r="BO42" s="132"/>
      <c r="BP42" s="26"/>
      <c r="BQ42" s="6"/>
      <c r="BR42" s="147"/>
      <c r="BS42" s="147"/>
      <c r="BT42" s="147"/>
      <c r="BU42" s="147"/>
      <c r="BV42" s="148"/>
      <c r="BW42" s="149"/>
      <c r="BX42" s="149"/>
      <c r="BY42" s="150"/>
      <c r="BZ42" s="150"/>
      <c r="CA42" s="149"/>
      <c r="CB42" s="149"/>
      <c r="CC42" s="149"/>
      <c r="CD42" s="151"/>
      <c r="CE42" s="132"/>
    </row>
    <row r="43" spans="2:83" s="146" customFormat="1" ht="25.5">
      <c r="B43" s="97" t="s">
        <v>262</v>
      </c>
      <c r="C43" s="254" t="s">
        <v>379</v>
      </c>
      <c r="D43" s="25">
        <v>0</v>
      </c>
      <c r="E43" s="26">
        <v>2</v>
      </c>
      <c r="F43" s="25">
        <v>0</v>
      </c>
      <c r="G43" s="27"/>
      <c r="H43" s="25"/>
      <c r="I43" s="32"/>
      <c r="J43" s="27"/>
      <c r="K43" s="28" t="s">
        <v>230</v>
      </c>
      <c r="L43" s="129"/>
      <c r="M43" s="129"/>
      <c r="N43" s="129"/>
      <c r="O43" s="129"/>
      <c r="P43" s="130"/>
      <c r="Q43" s="131"/>
      <c r="R43" s="131"/>
      <c r="S43" s="131"/>
      <c r="T43" s="131"/>
      <c r="U43" s="132"/>
      <c r="V43" s="131"/>
      <c r="W43" s="131"/>
      <c r="X43" s="131"/>
      <c r="Y43" s="131"/>
      <c r="Z43" s="131"/>
      <c r="AA43" s="131"/>
      <c r="AB43" s="131"/>
      <c r="AC43" s="131"/>
      <c r="AD43" s="132"/>
      <c r="AE43" s="133"/>
      <c r="AF43" s="132"/>
      <c r="AG43" s="133"/>
      <c r="AH43" s="132"/>
      <c r="AI43" s="131"/>
      <c r="AJ43" s="134"/>
      <c r="AK43" s="132"/>
      <c r="AL43" s="131"/>
      <c r="AM43" s="134"/>
      <c r="AN43" s="133"/>
      <c r="AO43" s="132"/>
      <c r="AP43" s="138"/>
      <c r="AQ43" s="133"/>
      <c r="AR43" s="132"/>
      <c r="AS43" s="138"/>
      <c r="AT43" s="133"/>
      <c r="AU43" s="132"/>
      <c r="AV43" s="135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6"/>
      <c r="BO43" s="132"/>
      <c r="BP43" s="26"/>
      <c r="BQ43" s="6"/>
      <c r="BR43" s="147"/>
      <c r="BS43" s="147"/>
      <c r="BT43" s="147"/>
      <c r="BU43" s="147"/>
      <c r="BV43" s="148"/>
      <c r="BW43" s="149"/>
      <c r="BX43" s="149"/>
      <c r="BY43" s="150"/>
      <c r="BZ43" s="150"/>
      <c r="CA43" s="149"/>
      <c r="CB43" s="149"/>
      <c r="CC43" s="149"/>
      <c r="CD43" s="151"/>
      <c r="CE43" s="132"/>
    </row>
    <row r="44" spans="2:83" s="146" customFormat="1" ht="12.75">
      <c r="B44" s="97" t="s">
        <v>362</v>
      </c>
      <c r="C44" s="254" t="s">
        <v>379</v>
      </c>
      <c r="D44" s="25"/>
      <c r="E44" s="26">
        <v>1</v>
      </c>
      <c r="F44" s="160">
        <v>1</v>
      </c>
      <c r="G44" s="27"/>
      <c r="H44" s="25">
        <v>15</v>
      </c>
      <c r="I44" s="32"/>
      <c r="J44" s="27"/>
      <c r="K44" s="28" t="s">
        <v>363</v>
      </c>
      <c r="L44" s="129"/>
      <c r="M44" s="129"/>
      <c r="N44" s="129"/>
      <c r="O44" s="129"/>
      <c r="P44" s="130"/>
      <c r="Q44" s="131"/>
      <c r="R44" s="131"/>
      <c r="S44" s="131"/>
      <c r="T44" s="131"/>
      <c r="U44" s="132"/>
      <c r="V44" s="131"/>
      <c r="W44" s="131"/>
      <c r="X44" s="131"/>
      <c r="Y44" s="131"/>
      <c r="Z44" s="131"/>
      <c r="AA44" s="131"/>
      <c r="AB44" s="131"/>
      <c r="AC44" s="131"/>
      <c r="AD44" s="132"/>
      <c r="AE44" s="133"/>
      <c r="AF44" s="132"/>
      <c r="AG44" s="133"/>
      <c r="AH44" s="132"/>
      <c r="AI44" s="131"/>
      <c r="AJ44" s="134"/>
      <c r="AK44" s="132"/>
      <c r="AL44" s="131"/>
      <c r="AM44" s="134"/>
      <c r="AN44" s="133"/>
      <c r="AO44" s="132"/>
      <c r="AP44" s="138"/>
      <c r="AQ44" s="133"/>
      <c r="AR44" s="132"/>
      <c r="AS44" s="138"/>
      <c r="AT44" s="133"/>
      <c r="AU44" s="132"/>
      <c r="AV44" s="135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6"/>
      <c r="BO44" s="132"/>
      <c r="BP44" s="26"/>
      <c r="BQ44" s="6"/>
      <c r="BR44" s="147"/>
      <c r="BS44" s="147"/>
      <c r="BT44" s="147"/>
      <c r="BU44" s="147"/>
      <c r="BV44" s="148"/>
      <c r="BW44" s="149"/>
      <c r="BX44" s="149"/>
      <c r="BY44" s="150"/>
      <c r="BZ44" s="150"/>
      <c r="CA44" s="149"/>
      <c r="CB44" s="149"/>
      <c r="CC44" s="149"/>
      <c r="CD44" s="151"/>
      <c r="CE44" s="132"/>
    </row>
    <row r="45" spans="2:83" s="146" customFormat="1" ht="12.75">
      <c r="B45" s="137" t="s">
        <v>19</v>
      </c>
      <c r="C45" s="254" t="s">
        <v>379</v>
      </c>
      <c r="D45" s="25">
        <v>0</v>
      </c>
      <c r="E45" s="26">
        <v>1</v>
      </c>
      <c r="F45" s="25">
        <v>0</v>
      </c>
      <c r="G45" s="27" t="s">
        <v>36</v>
      </c>
      <c r="H45" s="25">
        <v>0</v>
      </c>
      <c r="I45" s="32"/>
      <c r="J45" s="27" t="s">
        <v>36</v>
      </c>
      <c r="K45" s="28" t="s">
        <v>20</v>
      </c>
      <c r="L45" s="129"/>
      <c r="M45" s="129"/>
      <c r="N45" s="129"/>
      <c r="O45" s="129"/>
      <c r="P45" s="130">
        <f t="shared" si="5"/>
      </c>
      <c r="Q45" s="131"/>
      <c r="R45" s="131"/>
      <c r="S45" s="131"/>
      <c r="T45" s="131"/>
      <c r="U45" s="132"/>
      <c r="V45" s="131"/>
      <c r="W45" s="131"/>
      <c r="X45" s="131"/>
      <c r="Y45" s="131"/>
      <c r="Z45" s="131"/>
      <c r="AA45" s="131"/>
      <c r="AB45" s="131"/>
      <c r="AC45" s="131"/>
      <c r="AD45" s="132"/>
      <c r="AE45" s="133"/>
      <c r="AF45" s="132"/>
      <c r="AG45" s="133"/>
      <c r="AH45" s="132"/>
      <c r="AI45" s="131"/>
      <c r="AJ45" s="134"/>
      <c r="AK45" s="132"/>
      <c r="AL45" s="131"/>
      <c r="AM45" s="134"/>
      <c r="AN45" s="133"/>
      <c r="AO45" s="132"/>
      <c r="AP45" s="133"/>
      <c r="AQ45" s="133"/>
      <c r="AR45" s="132"/>
      <c r="AS45" s="133"/>
      <c r="AT45" s="133"/>
      <c r="AU45" s="132"/>
      <c r="AV45" s="135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6"/>
      <c r="BO45" s="132"/>
      <c r="BP45" s="26"/>
      <c r="BQ45" s="6"/>
      <c r="BR45" s="147">
        <f t="shared" si="8"/>
      </c>
      <c r="BS45" s="147">
        <f t="shared" si="9"/>
      </c>
      <c r="BT45" s="147">
        <f t="shared" si="9"/>
      </c>
      <c r="BU45" s="147">
        <f t="shared" si="10"/>
      </c>
      <c r="BV45" s="148"/>
      <c r="BW45" s="149">
        <f t="shared" si="11"/>
      </c>
      <c r="BX45" s="149">
        <f t="shared" si="12"/>
      </c>
      <c r="BY45" s="150">
        <f t="shared" si="13"/>
      </c>
      <c r="BZ45" s="150">
        <f t="shared" si="14"/>
      </c>
      <c r="CA45" s="149">
        <f t="shared" si="15"/>
      </c>
      <c r="CB45" s="149">
        <f t="shared" si="16"/>
      </c>
      <c r="CC45" s="149">
        <f t="shared" si="17"/>
      </c>
      <c r="CD45" s="151">
        <f t="shared" si="18"/>
      </c>
      <c r="CE45" s="132"/>
    </row>
    <row r="46" spans="2:83" s="146" customFormat="1" ht="25.5">
      <c r="B46" s="137" t="s">
        <v>121</v>
      </c>
      <c r="C46" s="24" t="s">
        <v>380</v>
      </c>
      <c r="D46" s="26">
        <v>1</v>
      </c>
      <c r="E46" s="26">
        <v>5</v>
      </c>
      <c r="F46" s="25">
        <v>0</v>
      </c>
      <c r="G46" s="27" t="s">
        <v>36</v>
      </c>
      <c r="H46" s="25">
        <v>0</v>
      </c>
      <c r="I46" s="32"/>
      <c r="J46" s="28" t="s">
        <v>122</v>
      </c>
      <c r="K46" s="27" t="s">
        <v>36</v>
      </c>
      <c r="L46" s="29">
        <v>500</v>
      </c>
      <c r="M46" s="29">
        <v>15</v>
      </c>
      <c r="N46" s="29">
        <v>10</v>
      </c>
      <c r="O46" s="29"/>
      <c r="P46" s="30">
        <f t="shared" si="5"/>
        <v>0.05</v>
      </c>
      <c r="Q46" s="31"/>
      <c r="R46" s="31">
        <v>0.8</v>
      </c>
      <c r="S46" s="31"/>
      <c r="T46" s="31">
        <v>0.2</v>
      </c>
      <c r="U46" s="42" t="s">
        <v>37</v>
      </c>
      <c r="V46" s="33"/>
      <c r="W46" s="33"/>
      <c r="X46" s="34">
        <v>1</v>
      </c>
      <c r="Y46" s="34"/>
      <c r="Z46" s="33"/>
      <c r="AA46" s="33"/>
      <c r="AB46" s="33"/>
      <c r="AC46" s="35"/>
      <c r="AD46" s="42" t="s">
        <v>37</v>
      </c>
      <c r="AE46" s="38">
        <v>0</v>
      </c>
      <c r="AF46" s="42" t="s">
        <v>37</v>
      </c>
      <c r="AG46" s="104" t="s">
        <v>37</v>
      </c>
      <c r="AH46" s="42" t="s">
        <v>37</v>
      </c>
      <c r="AI46" s="43" t="s">
        <v>37</v>
      </c>
      <c r="AJ46" s="43" t="s">
        <v>37</v>
      </c>
      <c r="AK46" s="42" t="s">
        <v>37</v>
      </c>
      <c r="AL46" s="128">
        <v>0</v>
      </c>
      <c r="AM46" s="43" t="s">
        <v>37</v>
      </c>
      <c r="AN46" s="43" t="s">
        <v>37</v>
      </c>
      <c r="AO46" s="42" t="s">
        <v>37</v>
      </c>
      <c r="AP46" s="19">
        <v>0</v>
      </c>
      <c r="AQ46" s="43" t="s">
        <v>37</v>
      </c>
      <c r="AR46" s="42" t="s">
        <v>37</v>
      </c>
      <c r="AS46" s="19">
        <v>0</v>
      </c>
      <c r="AT46" s="43" t="s">
        <v>37</v>
      </c>
      <c r="AU46" s="42" t="s">
        <v>37</v>
      </c>
      <c r="AV46" s="116">
        <v>1</v>
      </c>
      <c r="AW46" s="38">
        <v>1</v>
      </c>
      <c r="AX46" s="38">
        <v>1</v>
      </c>
      <c r="AY46" s="38"/>
      <c r="AZ46" s="36">
        <v>1</v>
      </c>
      <c r="BA46" s="39">
        <v>1</v>
      </c>
      <c r="BB46" s="39"/>
      <c r="BC46" s="40">
        <v>1</v>
      </c>
      <c r="BD46" s="40">
        <v>1</v>
      </c>
      <c r="BE46" s="36"/>
      <c r="BF46" s="36"/>
      <c r="BG46" s="41">
        <v>1</v>
      </c>
      <c r="BH46" s="41"/>
      <c r="BI46" s="36"/>
      <c r="BJ46" s="36"/>
      <c r="BK46" s="39"/>
      <c r="BL46" s="36"/>
      <c r="BM46" s="36"/>
      <c r="BN46" s="126">
        <v>1</v>
      </c>
      <c r="BO46" s="42" t="s">
        <v>37</v>
      </c>
      <c r="BP46" s="26"/>
      <c r="BQ46" s="6"/>
      <c r="BR46" s="147">
        <f t="shared" si="8"/>
      </c>
      <c r="BS46" s="147">
        <f t="shared" si="9"/>
        <v>8</v>
      </c>
      <c r="BT46" s="147">
        <f t="shared" si="9"/>
      </c>
      <c r="BU46" s="147">
        <f t="shared" si="10"/>
        <v>2</v>
      </c>
      <c r="BV46" s="148"/>
      <c r="BW46" s="149">
        <f t="shared" si="11"/>
      </c>
      <c r="BX46" s="149">
        <f t="shared" si="12"/>
      </c>
      <c r="BY46" s="150">
        <f t="shared" si="13"/>
        <v>10</v>
      </c>
      <c r="BZ46" s="150">
        <f t="shared" si="14"/>
      </c>
      <c r="CA46" s="149">
        <f t="shared" si="15"/>
      </c>
      <c r="CB46" s="149">
        <f t="shared" si="16"/>
      </c>
      <c r="CC46" s="149">
        <f t="shared" si="17"/>
      </c>
      <c r="CD46" s="151">
        <f t="shared" si="18"/>
      </c>
      <c r="CE46" s="42" t="s">
        <v>37</v>
      </c>
    </row>
    <row r="47" spans="2:83" s="146" customFormat="1" ht="25.5">
      <c r="B47" s="137" t="s">
        <v>155</v>
      </c>
      <c r="C47" s="94" t="s">
        <v>381</v>
      </c>
      <c r="D47" s="25">
        <v>0</v>
      </c>
      <c r="E47" s="26">
        <v>1</v>
      </c>
      <c r="F47" s="25">
        <v>0</v>
      </c>
      <c r="G47" s="27"/>
      <c r="H47" s="25"/>
      <c r="I47" s="32"/>
      <c r="J47" s="28" t="s">
        <v>158</v>
      </c>
      <c r="K47" s="27"/>
      <c r="L47" s="29"/>
      <c r="M47" s="29"/>
      <c r="N47" s="29"/>
      <c r="O47" s="29"/>
      <c r="P47" s="30"/>
      <c r="Q47" s="31"/>
      <c r="R47" s="31"/>
      <c r="S47" s="31"/>
      <c r="T47" s="31"/>
      <c r="U47" s="42"/>
      <c r="V47" s="33"/>
      <c r="W47" s="33"/>
      <c r="X47" s="34"/>
      <c r="Y47" s="34"/>
      <c r="Z47" s="33"/>
      <c r="AA47" s="33"/>
      <c r="AB47" s="33"/>
      <c r="AC47" s="35"/>
      <c r="AD47" s="42"/>
      <c r="AE47" s="38"/>
      <c r="AF47" s="42"/>
      <c r="AG47" s="104"/>
      <c r="AH47" s="42"/>
      <c r="AI47" s="43"/>
      <c r="AJ47" s="43"/>
      <c r="AK47" s="42"/>
      <c r="AL47" s="128"/>
      <c r="AM47" s="43"/>
      <c r="AN47" s="43"/>
      <c r="AO47" s="42"/>
      <c r="AP47" s="19"/>
      <c r="AQ47" s="43"/>
      <c r="AR47" s="42"/>
      <c r="AS47" s="19"/>
      <c r="AT47" s="43"/>
      <c r="AU47" s="42"/>
      <c r="AV47" s="116"/>
      <c r="AW47" s="38"/>
      <c r="AX47" s="38"/>
      <c r="AY47" s="38"/>
      <c r="AZ47" s="36"/>
      <c r="BA47" s="39"/>
      <c r="BB47" s="39"/>
      <c r="BC47" s="40"/>
      <c r="BD47" s="40"/>
      <c r="BE47" s="36"/>
      <c r="BF47" s="36"/>
      <c r="BG47" s="41"/>
      <c r="BH47" s="41"/>
      <c r="BI47" s="36"/>
      <c r="BJ47" s="36"/>
      <c r="BK47" s="39"/>
      <c r="BL47" s="36"/>
      <c r="BM47" s="36"/>
      <c r="BN47" s="126"/>
      <c r="BO47" s="42"/>
      <c r="BP47" s="26"/>
      <c r="BQ47" s="6"/>
      <c r="BR47" s="147">
        <f t="shared" si="8"/>
      </c>
      <c r="BS47" s="147">
        <f t="shared" si="9"/>
      </c>
      <c r="BT47" s="147">
        <f t="shared" si="9"/>
      </c>
      <c r="BU47" s="147">
        <f t="shared" si="10"/>
      </c>
      <c r="BV47" s="148"/>
      <c r="BW47" s="149">
        <f t="shared" si="11"/>
      </c>
      <c r="BX47" s="149">
        <f t="shared" si="12"/>
      </c>
      <c r="BY47" s="150">
        <f t="shared" si="13"/>
      </c>
      <c r="BZ47" s="150">
        <f t="shared" si="14"/>
      </c>
      <c r="CA47" s="149">
        <f t="shared" si="15"/>
      </c>
      <c r="CB47" s="149">
        <f t="shared" si="16"/>
      </c>
      <c r="CC47" s="149">
        <f t="shared" si="17"/>
      </c>
      <c r="CD47" s="151">
        <f t="shared" si="18"/>
      </c>
      <c r="CE47" s="42"/>
    </row>
    <row r="48" spans="2:83" s="146" customFormat="1" ht="45">
      <c r="B48" s="166" t="s">
        <v>214</v>
      </c>
      <c r="C48" s="98" t="s">
        <v>382</v>
      </c>
      <c r="D48" s="26">
        <v>1</v>
      </c>
      <c r="E48" s="25">
        <v>0</v>
      </c>
      <c r="F48" s="25">
        <v>0</v>
      </c>
      <c r="G48" s="27" t="s">
        <v>36</v>
      </c>
      <c r="H48" s="25">
        <v>0</v>
      </c>
      <c r="I48" s="32"/>
      <c r="J48" s="28" t="s">
        <v>215</v>
      </c>
      <c r="K48" s="27"/>
      <c r="L48" s="29">
        <v>245</v>
      </c>
      <c r="M48" s="29">
        <v>2</v>
      </c>
      <c r="N48" s="29">
        <v>0</v>
      </c>
      <c r="O48" s="29"/>
      <c r="P48" s="30">
        <f>IF(SUM(M48:N48)=0,"",SUM(M48:N48)/L48)</f>
        <v>0.00816326530612245</v>
      </c>
      <c r="Q48" s="31"/>
      <c r="R48" s="31"/>
      <c r="S48" s="31"/>
      <c r="T48" s="31"/>
      <c r="U48" s="32" t="s">
        <v>216</v>
      </c>
      <c r="V48" s="131"/>
      <c r="W48" s="131"/>
      <c r="X48" s="131"/>
      <c r="Y48" s="131"/>
      <c r="Z48" s="131"/>
      <c r="AA48" s="131"/>
      <c r="AB48" s="131"/>
      <c r="AC48" s="131"/>
      <c r="AD48" s="132"/>
      <c r="AE48" s="133"/>
      <c r="AF48" s="132"/>
      <c r="AG48" s="133"/>
      <c r="AH48" s="132"/>
      <c r="AI48" s="131"/>
      <c r="AJ48" s="134"/>
      <c r="AK48" s="132"/>
      <c r="AL48" s="131"/>
      <c r="AM48" s="134"/>
      <c r="AN48" s="133"/>
      <c r="AO48" s="132"/>
      <c r="AP48" s="133"/>
      <c r="AQ48" s="133"/>
      <c r="AR48" s="132"/>
      <c r="AS48" s="133"/>
      <c r="AT48" s="133"/>
      <c r="AU48" s="132"/>
      <c r="AV48" s="135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6"/>
      <c r="BO48" s="132"/>
      <c r="BP48" s="26"/>
      <c r="BQ48" s="6"/>
      <c r="BR48" s="147"/>
      <c r="BS48" s="147"/>
      <c r="BT48" s="147"/>
      <c r="BU48" s="147"/>
      <c r="BV48" s="148"/>
      <c r="BW48" s="149"/>
      <c r="BX48" s="149"/>
      <c r="BY48" s="150"/>
      <c r="BZ48" s="150"/>
      <c r="CA48" s="149"/>
      <c r="CB48" s="149"/>
      <c r="CC48" s="149"/>
      <c r="CD48" s="151"/>
      <c r="CE48" s="42"/>
    </row>
    <row r="49" spans="2:83" s="146" customFormat="1" ht="67.5">
      <c r="B49" s="166" t="s">
        <v>156</v>
      </c>
      <c r="C49" s="98" t="s">
        <v>382</v>
      </c>
      <c r="D49" s="26">
        <v>1</v>
      </c>
      <c r="E49" s="25">
        <v>0</v>
      </c>
      <c r="F49" s="25">
        <v>0</v>
      </c>
      <c r="G49" s="27" t="s">
        <v>36</v>
      </c>
      <c r="H49" s="25">
        <v>0</v>
      </c>
      <c r="I49" s="32"/>
      <c r="J49" s="28" t="s">
        <v>146</v>
      </c>
      <c r="K49" s="27" t="s">
        <v>36</v>
      </c>
      <c r="L49" s="29">
        <v>60</v>
      </c>
      <c r="M49" s="29">
        <v>0</v>
      </c>
      <c r="N49" s="29">
        <v>3</v>
      </c>
      <c r="O49" s="29"/>
      <c r="P49" s="30">
        <f>IF(SUM(M49:N49)=0,"",SUM(M49:N49)/L49)</f>
        <v>0.05</v>
      </c>
      <c r="Q49" s="31"/>
      <c r="R49" s="31">
        <v>0.8</v>
      </c>
      <c r="S49" s="31"/>
      <c r="T49" s="31">
        <v>0.2</v>
      </c>
      <c r="U49" s="42" t="s">
        <v>37</v>
      </c>
      <c r="V49" s="33"/>
      <c r="W49" s="33"/>
      <c r="X49" s="34">
        <v>1</v>
      </c>
      <c r="Y49" s="34"/>
      <c r="Z49" s="33"/>
      <c r="AA49" s="33"/>
      <c r="AB49" s="33"/>
      <c r="AC49" s="35"/>
      <c r="AD49" s="42" t="s">
        <v>37</v>
      </c>
      <c r="AE49" s="36">
        <v>1</v>
      </c>
      <c r="AF49" s="42" t="s">
        <v>37</v>
      </c>
      <c r="AG49" s="36" t="s">
        <v>147</v>
      </c>
      <c r="AH49" s="42" t="s">
        <v>37</v>
      </c>
      <c r="AI49" s="33">
        <v>1</v>
      </c>
      <c r="AJ49" s="37" t="s">
        <v>119</v>
      </c>
      <c r="AK49" s="42" t="s">
        <v>37</v>
      </c>
      <c r="AL49" s="33">
        <v>0.2</v>
      </c>
      <c r="AM49" s="43" t="s">
        <v>37</v>
      </c>
      <c r="AN49" s="36" t="s">
        <v>148</v>
      </c>
      <c r="AO49" s="42" t="s">
        <v>37</v>
      </c>
      <c r="AP49" s="19">
        <v>0</v>
      </c>
      <c r="AQ49" s="43" t="s">
        <v>37</v>
      </c>
      <c r="AR49" s="42" t="s">
        <v>37</v>
      </c>
      <c r="AS49" s="19">
        <v>0</v>
      </c>
      <c r="AT49" s="43" t="s">
        <v>37</v>
      </c>
      <c r="AU49" s="42" t="s">
        <v>37</v>
      </c>
      <c r="AV49" s="116">
        <v>1</v>
      </c>
      <c r="AW49" s="38">
        <v>1</v>
      </c>
      <c r="AX49" s="38"/>
      <c r="AY49" s="38"/>
      <c r="AZ49" s="36"/>
      <c r="BA49" s="39"/>
      <c r="BB49" s="39"/>
      <c r="BC49" s="40"/>
      <c r="BD49" s="40"/>
      <c r="BE49" s="36"/>
      <c r="BF49" s="36"/>
      <c r="BG49" s="41"/>
      <c r="BH49" s="41">
        <v>1</v>
      </c>
      <c r="BI49" s="36"/>
      <c r="BJ49" s="36"/>
      <c r="BK49" s="39"/>
      <c r="BL49" s="36"/>
      <c r="BM49" s="36"/>
      <c r="BN49" s="126"/>
      <c r="BO49" s="32" t="s">
        <v>149</v>
      </c>
      <c r="BP49" s="26"/>
      <c r="BQ49" s="6"/>
      <c r="BR49" s="147">
        <f t="shared" si="8"/>
      </c>
      <c r="BS49" s="147">
        <f t="shared" si="9"/>
        <v>2.4000000000000004</v>
      </c>
      <c r="BT49" s="147">
        <f t="shared" si="9"/>
      </c>
      <c r="BU49" s="147">
        <f t="shared" si="10"/>
        <v>0.6000000000000001</v>
      </c>
      <c r="BV49" s="148"/>
      <c r="BW49" s="149">
        <f t="shared" si="11"/>
      </c>
      <c r="BX49" s="149">
        <f t="shared" si="12"/>
      </c>
      <c r="BY49" s="150">
        <f t="shared" si="13"/>
        <v>3</v>
      </c>
      <c r="BZ49" s="150">
        <f t="shared" si="14"/>
      </c>
      <c r="CA49" s="149">
        <f t="shared" si="15"/>
      </c>
      <c r="CB49" s="149">
        <f t="shared" si="16"/>
      </c>
      <c r="CC49" s="149">
        <f t="shared" si="17"/>
      </c>
      <c r="CD49" s="151">
        <f t="shared" si="18"/>
      </c>
      <c r="CE49" s="42" t="s">
        <v>37</v>
      </c>
    </row>
    <row r="50" spans="2:83" s="146" customFormat="1" ht="56.25">
      <c r="B50" s="99" t="s">
        <v>157</v>
      </c>
      <c r="C50" s="98" t="s">
        <v>382</v>
      </c>
      <c r="D50" s="26">
        <v>1</v>
      </c>
      <c r="E50" s="170">
        <v>4</v>
      </c>
      <c r="F50" s="25">
        <v>0</v>
      </c>
      <c r="G50" s="27" t="s">
        <v>36</v>
      </c>
      <c r="H50" s="25">
        <v>0</v>
      </c>
      <c r="I50" s="32"/>
      <c r="J50" s="28" t="s">
        <v>113</v>
      </c>
      <c r="K50" s="27" t="s">
        <v>36</v>
      </c>
      <c r="L50" s="29">
        <v>585</v>
      </c>
      <c r="M50" s="29">
        <v>8</v>
      </c>
      <c r="N50" s="29">
        <v>2</v>
      </c>
      <c r="O50" s="29"/>
      <c r="P50" s="30">
        <f t="shared" si="5"/>
        <v>0.017094017094017096</v>
      </c>
      <c r="Q50" s="31"/>
      <c r="R50" s="31">
        <v>1</v>
      </c>
      <c r="S50" s="31"/>
      <c r="T50" s="31"/>
      <c r="U50" s="32"/>
      <c r="V50" s="33"/>
      <c r="W50" s="33"/>
      <c r="X50" s="34">
        <v>1</v>
      </c>
      <c r="Y50" s="34"/>
      <c r="Z50" s="33"/>
      <c r="AA50" s="33"/>
      <c r="AB50" s="33"/>
      <c r="AC50" s="35"/>
      <c r="AD50" s="42" t="s">
        <v>37</v>
      </c>
      <c r="AE50" s="36">
        <v>1</v>
      </c>
      <c r="AF50" s="32" t="s">
        <v>172</v>
      </c>
      <c r="AG50" s="36" t="s">
        <v>173</v>
      </c>
      <c r="AH50" s="42" t="s">
        <v>37</v>
      </c>
      <c r="AI50" s="33">
        <v>1</v>
      </c>
      <c r="AJ50" s="37" t="s">
        <v>153</v>
      </c>
      <c r="AK50" s="42" t="s">
        <v>37</v>
      </c>
      <c r="AL50" s="128">
        <v>0</v>
      </c>
      <c r="AM50" s="43" t="s">
        <v>37</v>
      </c>
      <c r="AN50" s="43" t="s">
        <v>37</v>
      </c>
      <c r="AO50" s="42" t="s">
        <v>37</v>
      </c>
      <c r="AP50" s="19">
        <v>0</v>
      </c>
      <c r="AQ50" s="43" t="s">
        <v>37</v>
      </c>
      <c r="AR50" s="42" t="s">
        <v>37</v>
      </c>
      <c r="AS50" s="19">
        <v>0</v>
      </c>
      <c r="AT50" s="43" t="s">
        <v>37</v>
      </c>
      <c r="AU50" s="32" t="s">
        <v>174</v>
      </c>
      <c r="AV50" s="116">
        <v>1</v>
      </c>
      <c r="AW50" s="38"/>
      <c r="AX50" s="38"/>
      <c r="AY50" s="38"/>
      <c r="AZ50" s="36"/>
      <c r="BA50" s="39"/>
      <c r="BB50" s="39"/>
      <c r="BC50" s="40"/>
      <c r="BD50" s="40">
        <v>1</v>
      </c>
      <c r="BE50" s="36"/>
      <c r="BF50" s="36"/>
      <c r="BG50" s="41">
        <v>1</v>
      </c>
      <c r="BH50" s="41">
        <v>1</v>
      </c>
      <c r="BI50" s="36"/>
      <c r="BJ50" s="36">
        <v>1</v>
      </c>
      <c r="BK50" s="39"/>
      <c r="BL50" s="36"/>
      <c r="BM50" s="36">
        <v>1</v>
      </c>
      <c r="BN50" s="126"/>
      <c r="BO50" s="32" t="s">
        <v>175</v>
      </c>
      <c r="BP50" s="26"/>
      <c r="BQ50" s="6"/>
      <c r="BR50" s="147">
        <f t="shared" si="8"/>
      </c>
      <c r="BS50" s="147">
        <f t="shared" si="9"/>
        <v>2</v>
      </c>
      <c r="BT50" s="147">
        <f t="shared" si="9"/>
      </c>
      <c r="BU50" s="147">
        <f t="shared" si="10"/>
      </c>
      <c r="BV50" s="148"/>
      <c r="BW50" s="149">
        <f t="shared" si="11"/>
      </c>
      <c r="BX50" s="149">
        <f t="shared" si="12"/>
      </c>
      <c r="BY50" s="150">
        <f t="shared" si="13"/>
        <v>2</v>
      </c>
      <c r="BZ50" s="150">
        <f t="shared" si="14"/>
      </c>
      <c r="CA50" s="149">
        <f t="shared" si="15"/>
      </c>
      <c r="CB50" s="149">
        <f t="shared" si="16"/>
      </c>
      <c r="CC50" s="149">
        <f t="shared" si="17"/>
      </c>
      <c r="CD50" s="151">
        <f t="shared" si="18"/>
      </c>
      <c r="CE50" s="42" t="s">
        <v>37</v>
      </c>
    </row>
    <row r="51" spans="2:83" s="146" customFormat="1" ht="25.5">
      <c r="B51" s="23" t="s">
        <v>159</v>
      </c>
      <c r="C51" s="24" t="s">
        <v>379</v>
      </c>
      <c r="D51" s="26">
        <v>1</v>
      </c>
      <c r="E51" s="25">
        <v>0</v>
      </c>
      <c r="F51" s="25">
        <v>0</v>
      </c>
      <c r="G51" s="27" t="s">
        <v>36</v>
      </c>
      <c r="H51" s="25">
        <v>0</v>
      </c>
      <c r="I51" s="100" t="s">
        <v>189</v>
      </c>
      <c r="J51" s="28" t="s">
        <v>160</v>
      </c>
      <c r="K51" s="27" t="s">
        <v>36</v>
      </c>
      <c r="L51" s="29">
        <v>7052</v>
      </c>
      <c r="M51" s="29">
        <v>430</v>
      </c>
      <c r="N51" s="29">
        <v>233</v>
      </c>
      <c r="O51" s="29"/>
      <c r="P51" s="30">
        <f>IF(SUM(M51:N51)=0,"",SUM(M51:N51)/L51)</f>
        <v>0.0940158820192853</v>
      </c>
      <c r="Q51" s="31"/>
      <c r="R51" s="31"/>
      <c r="S51" s="31">
        <v>0.9</v>
      </c>
      <c r="T51" s="31">
        <v>0.1</v>
      </c>
      <c r="U51" s="144" t="s">
        <v>161</v>
      </c>
      <c r="V51" s="33"/>
      <c r="W51" s="33"/>
      <c r="X51" s="34">
        <v>1</v>
      </c>
      <c r="Y51" s="34"/>
      <c r="Z51" s="33"/>
      <c r="AA51" s="33"/>
      <c r="AB51" s="33"/>
      <c r="AC51" s="35"/>
      <c r="AD51" s="56"/>
      <c r="AE51" s="36">
        <v>1</v>
      </c>
      <c r="AF51" s="56"/>
      <c r="AG51" s="36" t="s">
        <v>162</v>
      </c>
      <c r="AH51" s="56"/>
      <c r="AI51" s="33">
        <v>0.9</v>
      </c>
      <c r="AJ51" s="37" t="s">
        <v>153</v>
      </c>
      <c r="AK51" s="56"/>
      <c r="AL51" s="33">
        <v>0.05</v>
      </c>
      <c r="AM51" s="37" t="s">
        <v>106</v>
      </c>
      <c r="AN51" s="141" t="s">
        <v>163</v>
      </c>
      <c r="AO51" s="42" t="s">
        <v>37</v>
      </c>
      <c r="AP51" s="19">
        <v>0</v>
      </c>
      <c r="AQ51" s="43" t="s">
        <v>37</v>
      </c>
      <c r="AR51" s="42" t="s">
        <v>37</v>
      </c>
      <c r="AS51" s="19">
        <v>0</v>
      </c>
      <c r="AT51" s="43" t="s">
        <v>37</v>
      </c>
      <c r="AU51" s="42" t="s">
        <v>37</v>
      </c>
      <c r="AV51" s="116"/>
      <c r="AW51" s="38">
        <v>1</v>
      </c>
      <c r="AX51" s="38"/>
      <c r="AY51" s="38"/>
      <c r="AZ51" s="36">
        <v>1</v>
      </c>
      <c r="BA51" s="39"/>
      <c r="BB51" s="39"/>
      <c r="BC51" s="40">
        <v>1</v>
      </c>
      <c r="BD51" s="40">
        <v>1</v>
      </c>
      <c r="BE51" s="36"/>
      <c r="BF51" s="36"/>
      <c r="BG51" s="41">
        <v>1</v>
      </c>
      <c r="BH51" s="41"/>
      <c r="BI51" s="36">
        <v>1</v>
      </c>
      <c r="BJ51" s="36">
        <v>1</v>
      </c>
      <c r="BK51" s="39"/>
      <c r="BL51" s="36"/>
      <c r="BM51" s="36"/>
      <c r="BN51" s="126"/>
      <c r="BO51" s="100" t="s">
        <v>164</v>
      </c>
      <c r="BP51" s="26"/>
      <c r="BQ51" s="6"/>
      <c r="BR51" s="147">
        <f t="shared" si="8"/>
      </c>
      <c r="BS51" s="147">
        <f t="shared" si="9"/>
      </c>
      <c r="BT51" s="147">
        <f t="shared" si="9"/>
        <v>209.70000000000002</v>
      </c>
      <c r="BU51" s="147">
        <f t="shared" si="10"/>
        <v>23.3</v>
      </c>
      <c r="BV51" s="148"/>
      <c r="BW51" s="149">
        <f t="shared" si="11"/>
      </c>
      <c r="BX51" s="149">
        <f t="shared" si="12"/>
      </c>
      <c r="BY51" s="150">
        <f t="shared" si="13"/>
        <v>233</v>
      </c>
      <c r="BZ51" s="150">
        <f t="shared" si="14"/>
      </c>
      <c r="CA51" s="149">
        <f t="shared" si="15"/>
      </c>
      <c r="CB51" s="149">
        <f t="shared" si="16"/>
      </c>
      <c r="CC51" s="149">
        <f t="shared" si="17"/>
      </c>
      <c r="CD51" s="151">
        <f t="shared" si="18"/>
      </c>
      <c r="CE51" s="56"/>
    </row>
    <row r="52" spans="2:83" s="146" customFormat="1" ht="12.75">
      <c r="B52" s="23"/>
      <c r="C52" s="24"/>
      <c r="D52" s="26"/>
      <c r="E52" s="26"/>
      <c r="F52" s="44"/>
      <c r="G52" s="45"/>
      <c r="H52" s="26"/>
      <c r="I52" s="100"/>
      <c r="J52" s="28"/>
      <c r="K52" s="28"/>
      <c r="L52" s="45"/>
      <c r="M52" s="45"/>
      <c r="N52" s="45"/>
      <c r="O52" s="45"/>
      <c r="P52" s="30">
        <f>IF(SUM(M52:N52)=0,"",SUM(M52:N52)/L52)</f>
      </c>
      <c r="Q52" s="31"/>
      <c r="R52" s="31"/>
      <c r="S52" s="31"/>
      <c r="T52" s="31"/>
      <c r="U52" s="56"/>
      <c r="V52" s="33"/>
      <c r="W52" s="33"/>
      <c r="X52" s="34"/>
      <c r="Y52" s="34"/>
      <c r="Z52" s="33"/>
      <c r="AA52" s="33"/>
      <c r="AB52" s="33"/>
      <c r="AC52" s="35"/>
      <c r="AD52" s="56"/>
      <c r="AE52" s="36"/>
      <c r="AF52" s="56"/>
      <c r="AG52" s="36"/>
      <c r="AH52" s="56"/>
      <c r="AI52" s="33"/>
      <c r="AJ52" s="37"/>
      <c r="AK52" s="56"/>
      <c r="AL52" s="33"/>
      <c r="AM52" s="37"/>
      <c r="AN52" s="36"/>
      <c r="AO52" s="56"/>
      <c r="AP52" s="36"/>
      <c r="AQ52" s="36"/>
      <c r="AR52" s="56"/>
      <c r="AS52" s="36"/>
      <c r="AT52" s="36"/>
      <c r="AU52" s="56"/>
      <c r="AV52" s="116"/>
      <c r="AW52" s="38"/>
      <c r="AX52" s="38"/>
      <c r="AY52" s="38"/>
      <c r="AZ52" s="36"/>
      <c r="BA52" s="39"/>
      <c r="BB52" s="39"/>
      <c r="BC52" s="40"/>
      <c r="BD52" s="40"/>
      <c r="BE52" s="36"/>
      <c r="BF52" s="36"/>
      <c r="BG52" s="41"/>
      <c r="BH52" s="41"/>
      <c r="BI52" s="36"/>
      <c r="BJ52" s="36"/>
      <c r="BK52" s="39"/>
      <c r="BL52" s="36"/>
      <c r="BM52" s="36"/>
      <c r="BN52" s="126"/>
      <c r="BO52" s="56"/>
      <c r="BP52" s="26"/>
      <c r="BQ52" s="6"/>
      <c r="BR52" s="147">
        <f t="shared" si="8"/>
      </c>
      <c r="BS52" s="147">
        <f t="shared" si="9"/>
      </c>
      <c r="BT52" s="147">
        <f t="shared" si="9"/>
      </c>
      <c r="BU52" s="147">
        <f t="shared" si="10"/>
      </c>
      <c r="BV52" s="148"/>
      <c r="BW52" s="149">
        <f t="shared" si="11"/>
      </c>
      <c r="BX52" s="149">
        <f t="shared" si="12"/>
      </c>
      <c r="BY52" s="150">
        <f t="shared" si="13"/>
      </c>
      <c r="BZ52" s="150">
        <f t="shared" si="14"/>
      </c>
      <c r="CA52" s="149">
        <f t="shared" si="15"/>
      </c>
      <c r="CB52" s="149">
        <f t="shared" si="16"/>
      </c>
      <c r="CC52" s="149">
        <f t="shared" si="17"/>
      </c>
      <c r="CD52" s="151">
        <f t="shared" si="18"/>
      </c>
      <c r="CE52" s="56"/>
    </row>
    <row r="53" spans="2:83" ht="12.75">
      <c r="B53" s="23"/>
      <c r="C53" s="24"/>
      <c r="D53" s="26"/>
      <c r="E53" s="26"/>
      <c r="F53" s="44"/>
      <c r="G53" s="45"/>
      <c r="H53" s="26"/>
      <c r="I53" s="100"/>
      <c r="J53" s="26"/>
      <c r="K53" s="28"/>
      <c r="L53" s="26"/>
      <c r="M53" s="26"/>
      <c r="N53" s="26"/>
      <c r="O53" s="26"/>
      <c r="P53" s="30">
        <f>IF(SUM(M53:N53)=0,"",SUM(M53:N53)/L53)</f>
      </c>
      <c r="Q53" s="31"/>
      <c r="R53" s="31"/>
      <c r="S53" s="31"/>
      <c r="T53" s="31"/>
      <c r="U53" s="56"/>
      <c r="V53" s="33"/>
      <c r="W53" s="33"/>
      <c r="X53" s="34"/>
      <c r="Y53" s="34"/>
      <c r="Z53" s="33"/>
      <c r="AA53" s="33"/>
      <c r="AB53" s="33"/>
      <c r="AC53" s="35"/>
      <c r="AD53" s="56"/>
      <c r="AE53" s="36"/>
      <c r="AF53" s="56"/>
      <c r="AG53" s="36"/>
      <c r="AH53" s="56"/>
      <c r="AI53" s="33"/>
      <c r="AJ53" s="37"/>
      <c r="AK53" s="56"/>
      <c r="AL53" s="33"/>
      <c r="AM53" s="37"/>
      <c r="AN53" s="36"/>
      <c r="AO53" s="56"/>
      <c r="AP53" s="36"/>
      <c r="AQ53" s="36"/>
      <c r="AR53" s="56"/>
      <c r="AS53" s="36"/>
      <c r="AT53" s="36"/>
      <c r="AU53" s="56"/>
      <c r="AV53" s="116"/>
      <c r="AW53" s="38"/>
      <c r="AX53" s="38"/>
      <c r="AY53" s="38"/>
      <c r="AZ53" s="36"/>
      <c r="BA53" s="39"/>
      <c r="BB53" s="39"/>
      <c r="BC53" s="40"/>
      <c r="BD53" s="40"/>
      <c r="BE53" s="36"/>
      <c r="BF53" s="36"/>
      <c r="BG53" s="41"/>
      <c r="BH53" s="41"/>
      <c r="BI53" s="36"/>
      <c r="BJ53" s="36"/>
      <c r="BK53" s="39"/>
      <c r="BL53" s="36"/>
      <c r="BM53" s="36"/>
      <c r="BN53" s="126"/>
      <c r="BO53" s="56"/>
      <c r="BP53" s="26"/>
      <c r="BQ53" s="6"/>
      <c r="BR53" s="147">
        <f aca="true" t="shared" si="20" ref="BR53:BU54">IF(Q53="","",Q53*$N53)</f>
      </c>
      <c r="BS53" s="147">
        <f t="shared" si="20"/>
      </c>
      <c r="BT53" s="147">
        <f t="shared" si="20"/>
      </c>
      <c r="BU53" s="147">
        <f t="shared" si="20"/>
      </c>
      <c r="BV53" s="148"/>
      <c r="BW53" s="149">
        <f aca="true" t="shared" si="21" ref="BW53:CD54">IF(V53="","",V53*$N53)</f>
      </c>
      <c r="BX53" s="149">
        <f t="shared" si="21"/>
      </c>
      <c r="BY53" s="150">
        <f t="shared" si="21"/>
      </c>
      <c r="BZ53" s="150">
        <f t="shared" si="21"/>
      </c>
      <c r="CA53" s="149">
        <f t="shared" si="21"/>
      </c>
      <c r="CB53" s="149">
        <f t="shared" si="21"/>
      </c>
      <c r="CC53" s="149">
        <f t="shared" si="21"/>
      </c>
      <c r="CD53" s="151">
        <f t="shared" si="21"/>
      </c>
      <c r="CE53" s="56"/>
    </row>
    <row r="54" spans="1:83" ht="13.5" thickBot="1">
      <c r="A54" s="61"/>
      <c r="B54" s="62"/>
      <c r="C54" s="63"/>
      <c r="D54" s="59"/>
      <c r="E54" s="59"/>
      <c r="F54" s="64"/>
      <c r="G54" s="65"/>
      <c r="H54" s="59"/>
      <c r="I54" s="101"/>
      <c r="J54" s="59"/>
      <c r="K54" s="66"/>
      <c r="L54" s="59"/>
      <c r="M54" s="59"/>
      <c r="N54" s="60"/>
      <c r="O54" s="60"/>
      <c r="P54" s="67">
        <f>IF(SUM(M54:N54)=0,"",SUM(M54:N54)/L54)</f>
      </c>
      <c r="Q54" s="68"/>
      <c r="R54" s="68"/>
      <c r="S54" s="68"/>
      <c r="T54" s="68"/>
      <c r="U54" s="69"/>
      <c r="V54" s="70"/>
      <c r="W54" s="70"/>
      <c r="X54" s="71"/>
      <c r="Y54" s="71"/>
      <c r="Z54" s="70"/>
      <c r="AA54" s="70"/>
      <c r="AB54" s="70"/>
      <c r="AC54" s="72"/>
      <c r="AD54" s="69"/>
      <c r="AE54" s="73"/>
      <c r="AF54" s="69"/>
      <c r="AG54" s="73"/>
      <c r="AH54" s="69"/>
      <c r="AI54" s="70"/>
      <c r="AJ54" s="74"/>
      <c r="AK54" s="69"/>
      <c r="AL54" s="70"/>
      <c r="AM54" s="74"/>
      <c r="AN54" s="73"/>
      <c r="AO54" s="58"/>
      <c r="AP54" s="16"/>
      <c r="AQ54" s="16"/>
      <c r="AR54" s="58"/>
      <c r="AS54" s="16"/>
      <c r="AT54" s="16"/>
      <c r="AU54" s="58"/>
      <c r="AV54" s="115"/>
      <c r="AW54" s="19"/>
      <c r="AX54" s="19"/>
      <c r="AY54" s="19"/>
      <c r="AZ54" s="16"/>
      <c r="BA54" s="20"/>
      <c r="BB54" s="20"/>
      <c r="BC54" s="21"/>
      <c r="BD54" s="21"/>
      <c r="BE54" s="16"/>
      <c r="BF54" s="16"/>
      <c r="BG54" s="22"/>
      <c r="BH54" s="22"/>
      <c r="BI54" s="16"/>
      <c r="BJ54" s="16"/>
      <c r="BK54" s="20"/>
      <c r="BL54" s="16"/>
      <c r="BM54" s="16"/>
      <c r="BN54" s="125"/>
      <c r="BO54" s="58"/>
      <c r="BP54" s="7"/>
      <c r="BQ54" s="6"/>
      <c r="BR54" s="147">
        <f t="shared" si="20"/>
      </c>
      <c r="BS54" s="147">
        <f t="shared" si="20"/>
      </c>
      <c r="BT54" s="147">
        <f t="shared" si="20"/>
      </c>
      <c r="BU54" s="147">
        <f t="shared" si="20"/>
      </c>
      <c r="BV54" s="148"/>
      <c r="BW54" s="149">
        <f t="shared" si="21"/>
      </c>
      <c r="BX54" s="149">
        <f t="shared" si="21"/>
      </c>
      <c r="BY54" s="150">
        <f t="shared" si="21"/>
      </c>
      <c r="BZ54" s="150">
        <f t="shared" si="21"/>
      </c>
      <c r="CA54" s="149">
        <f t="shared" si="21"/>
      </c>
      <c r="CB54" s="149">
        <f t="shared" si="21"/>
      </c>
      <c r="CC54" s="149">
        <f t="shared" si="21"/>
      </c>
      <c r="CD54" s="151">
        <f t="shared" si="21"/>
      </c>
      <c r="CE54" s="69"/>
    </row>
    <row r="55" spans="2:83" ht="12.75">
      <c r="B55" s="76"/>
      <c r="C55" s="75"/>
      <c r="D55" s="75"/>
      <c r="E55" s="75"/>
      <c r="F55" s="75"/>
      <c r="G55" s="75"/>
      <c r="H55" s="75"/>
      <c r="I55" s="102"/>
      <c r="J55" s="75"/>
      <c r="K55" s="76"/>
      <c r="L55" s="77"/>
      <c r="M55" s="75"/>
      <c r="N55" s="75"/>
      <c r="O55" s="163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118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20"/>
      <c r="BO55" s="75"/>
      <c r="BP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</row>
    <row r="56" spans="9:66" ht="13.5" thickBot="1">
      <c r="I56" s="103"/>
      <c r="AV56" s="121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3"/>
    </row>
    <row r="57" ht="13.5" thickTop="1">
      <c r="I57" s="103"/>
    </row>
    <row r="58" ht="12.75">
      <c r="I58" s="103"/>
    </row>
    <row r="59" ht="12.75">
      <c r="I59" s="103"/>
    </row>
    <row r="60" ht="12.75">
      <c r="I60" s="103"/>
    </row>
    <row r="61" ht="12.75">
      <c r="I61" s="103"/>
    </row>
    <row r="62" ht="12.75">
      <c r="I62" s="103"/>
    </row>
    <row r="63" ht="12.75">
      <c r="I63" s="103"/>
    </row>
    <row r="64" ht="12.75">
      <c r="I64" s="103"/>
    </row>
    <row r="65" ht="12.75">
      <c r="I65" s="103"/>
    </row>
    <row r="66" ht="12.75">
      <c r="I66" s="103"/>
    </row>
    <row r="67" ht="12.75">
      <c r="I67" s="103"/>
    </row>
    <row r="68" ht="12.75">
      <c r="I68" s="103"/>
    </row>
    <row r="69" ht="12.75">
      <c r="I69" s="103"/>
    </row>
    <row r="70" ht="12.75">
      <c r="I70" s="103"/>
    </row>
    <row r="71" ht="12.75">
      <c r="I71" s="103"/>
    </row>
    <row r="72" ht="12.75">
      <c r="I72" s="103"/>
    </row>
    <row r="73" ht="12.75">
      <c r="I73" s="103"/>
    </row>
    <row r="74" ht="12.75">
      <c r="I74" s="103"/>
    </row>
    <row r="75" ht="12.75">
      <c r="I75" s="103"/>
    </row>
    <row r="76" ht="12.75">
      <c r="I76" s="103"/>
    </row>
    <row r="77" ht="12.75">
      <c r="I77" s="103"/>
    </row>
    <row r="78" ht="12.75">
      <c r="I78" s="103"/>
    </row>
    <row r="79" ht="12.75">
      <c r="I79" s="103"/>
    </row>
    <row r="80" ht="12.75">
      <c r="I80" s="103"/>
    </row>
    <row r="81" ht="12.75">
      <c r="I81" s="103"/>
    </row>
    <row r="82" ht="12.75">
      <c r="I82" s="103"/>
    </row>
    <row r="83" ht="12.75">
      <c r="I83" s="103"/>
    </row>
    <row r="84" ht="12.75">
      <c r="I84" s="103"/>
    </row>
    <row r="85" ht="12.75">
      <c r="I85" s="103"/>
    </row>
    <row r="86" ht="12.75">
      <c r="I86" s="103"/>
    </row>
    <row r="87" ht="12.75">
      <c r="I87" s="103"/>
    </row>
    <row r="88" ht="12.75">
      <c r="I88" s="103"/>
    </row>
    <row r="89" ht="12.75">
      <c r="I89" s="103"/>
    </row>
    <row r="90" ht="12.75">
      <c r="I90" s="103"/>
    </row>
    <row r="91" ht="12.75">
      <c r="I91" s="103"/>
    </row>
    <row r="92" ht="12.75">
      <c r="I92" s="103"/>
    </row>
    <row r="93" ht="12.75">
      <c r="I93" s="103"/>
    </row>
    <row r="94" ht="12.75">
      <c r="I94" s="103"/>
    </row>
    <row r="95" ht="12.75">
      <c r="I95" s="103"/>
    </row>
    <row r="96" ht="12.75">
      <c r="I96" s="103"/>
    </row>
    <row r="97" ht="12.75">
      <c r="I97" s="103"/>
    </row>
    <row r="98" ht="12.75">
      <c r="I98" s="103"/>
    </row>
    <row r="99" ht="12.75">
      <c r="I99" s="103"/>
    </row>
    <row r="100" ht="12.75">
      <c r="I100" s="103"/>
    </row>
    <row r="101" ht="12.75">
      <c r="I101" s="103"/>
    </row>
    <row r="102" ht="12.75">
      <c r="I102" s="103"/>
    </row>
    <row r="103" ht="12.75">
      <c r="I103" s="103"/>
    </row>
    <row r="104" ht="12.75">
      <c r="I104" s="103"/>
    </row>
  </sheetData>
  <printOptions/>
  <pageMargins left="0.25" right="0.25" top="0.25" bottom="0.25" header="0.25" footer="0.25"/>
  <pageSetup fitToHeight="3" fitToWidth="4" horizontalDpi="600" verticalDpi="600" orientation="landscape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B1:AP4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78" customWidth="1"/>
    <col min="2" max="2" width="18.28125" style="178" customWidth="1"/>
    <col min="3" max="3" width="0.9921875" style="178" customWidth="1"/>
    <col min="4" max="4" width="7.00390625" style="178" customWidth="1"/>
    <col min="5" max="6" width="5.57421875" style="178" bestFit="1" customWidth="1"/>
    <col min="7" max="7" width="6.57421875" style="178" customWidth="1"/>
    <col min="8" max="8" width="0.9921875" style="178" customWidth="1"/>
    <col min="9" max="10" width="5.57421875" style="178" bestFit="1" customWidth="1"/>
    <col min="11" max="12" width="5.57421875" style="178" customWidth="1"/>
    <col min="13" max="13" width="5.57421875" style="178" bestFit="1" customWidth="1"/>
    <col min="14" max="15" width="5.57421875" style="178" customWidth="1"/>
    <col min="16" max="16" width="4.57421875" style="178" bestFit="1" customWidth="1"/>
    <col min="17" max="18" width="6.28125" style="178" customWidth="1"/>
    <col min="19" max="19" width="0.5625" style="178" customWidth="1"/>
    <col min="20" max="20" width="6.7109375" style="178" customWidth="1"/>
    <col min="21" max="21" width="20.28125" style="178" customWidth="1"/>
    <col min="22" max="22" width="0.5625" style="178" customWidth="1"/>
    <col min="23" max="23" width="7.28125" style="178" customWidth="1"/>
    <col min="24" max="24" width="20.28125" style="178" customWidth="1"/>
    <col min="25" max="25" width="0.5625" style="178" customWidth="1"/>
    <col min="26" max="26" width="6.7109375" style="178" customWidth="1"/>
    <col min="27" max="27" width="26.421875" style="178" customWidth="1"/>
    <col min="28" max="28" width="0.5625" style="178" customWidth="1"/>
    <col min="29" max="29" width="4.7109375" style="178" customWidth="1"/>
    <col min="30" max="16384" width="9.140625" style="178" customWidth="1"/>
  </cols>
  <sheetData>
    <row r="1" spans="2:27" ht="55.5" customHeight="1">
      <c r="B1" s="208" t="s">
        <v>354</v>
      </c>
      <c r="D1" s="181"/>
      <c r="E1" s="181"/>
      <c r="F1" s="181"/>
      <c r="G1" s="181"/>
      <c r="I1" s="181"/>
      <c r="J1" s="181"/>
      <c r="K1" s="181"/>
      <c r="L1" s="181"/>
      <c r="T1" s="181"/>
      <c r="U1" s="181"/>
      <c r="X1" s="181"/>
      <c r="AA1" s="181"/>
    </row>
    <row r="2" spans="4:27" ht="12.75" hidden="1">
      <c r="D2" s="181"/>
      <c r="E2" s="181"/>
      <c r="F2" s="181"/>
      <c r="G2" s="181"/>
      <c r="I2" s="181"/>
      <c r="J2" s="181"/>
      <c r="K2" s="181"/>
      <c r="L2" s="181"/>
      <c r="T2" s="181"/>
      <c r="U2" s="181"/>
      <c r="X2" s="181"/>
      <c r="AA2" s="181"/>
    </row>
    <row r="3" spans="4:27" ht="12.75" hidden="1">
      <c r="D3" s="181"/>
      <c r="E3" s="181"/>
      <c r="F3" s="181"/>
      <c r="G3" s="181"/>
      <c r="I3" s="181"/>
      <c r="J3" s="181"/>
      <c r="K3" s="181"/>
      <c r="L3" s="181"/>
      <c r="T3" s="181"/>
      <c r="U3" s="181"/>
      <c r="X3" s="181"/>
      <c r="AA3" s="181"/>
    </row>
    <row r="4" spans="4:27" ht="12.75" hidden="1">
      <c r="D4" s="181"/>
      <c r="E4" s="181"/>
      <c r="F4" s="181"/>
      <c r="G4" s="181"/>
      <c r="I4" s="181"/>
      <c r="J4" s="181"/>
      <c r="K4" s="181"/>
      <c r="L4" s="181"/>
      <c r="T4" s="181"/>
      <c r="U4" s="181"/>
      <c r="X4" s="181"/>
      <c r="AA4" s="181"/>
    </row>
    <row r="5" spans="3:42" s="201" customFormat="1" ht="26.25" customHeight="1">
      <c r="C5" s="203"/>
      <c r="D5" s="204"/>
      <c r="E5" s="212" t="s">
        <v>288</v>
      </c>
      <c r="F5" s="204"/>
      <c r="G5" s="204"/>
      <c r="H5" s="203"/>
      <c r="I5" s="204"/>
      <c r="L5" s="212"/>
      <c r="M5" s="212" t="s">
        <v>315</v>
      </c>
      <c r="N5" s="212"/>
      <c r="O5" s="212"/>
      <c r="P5" s="204"/>
      <c r="Q5" s="204"/>
      <c r="R5" s="204"/>
      <c r="S5" s="203"/>
      <c r="T5" s="221" t="s">
        <v>359</v>
      </c>
      <c r="U5" s="219"/>
      <c r="V5" s="203"/>
      <c r="W5" s="220" t="s">
        <v>358</v>
      </c>
      <c r="X5" s="219"/>
      <c r="Y5" s="184"/>
      <c r="Z5" s="221" t="s">
        <v>367</v>
      </c>
      <c r="AA5" s="219"/>
      <c r="AB5" s="184"/>
      <c r="AC5" s="204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</row>
    <row r="6" spans="2:42" s="201" customFormat="1" ht="20.25" customHeight="1">
      <c r="B6" s="217">
        <v>31</v>
      </c>
      <c r="C6" s="203"/>
      <c r="D6" s="218">
        <f>+B6+1</f>
        <v>32</v>
      </c>
      <c r="E6" s="218">
        <f>+D6+1</f>
        <v>33</v>
      </c>
      <c r="F6" s="218">
        <f>+E6+1</f>
        <v>34</v>
      </c>
      <c r="G6" s="218">
        <f>+F6+1</f>
        <v>35</v>
      </c>
      <c r="H6" s="203"/>
      <c r="I6" s="218">
        <f>+G6+1</f>
        <v>36</v>
      </c>
      <c r="J6" s="218">
        <f aca="true" t="shared" si="0" ref="J6:R6">+I6+1</f>
        <v>37</v>
      </c>
      <c r="K6" s="218">
        <f t="shared" si="0"/>
        <v>38</v>
      </c>
      <c r="L6" s="218">
        <f t="shared" si="0"/>
        <v>39</v>
      </c>
      <c r="M6" s="218">
        <f t="shared" si="0"/>
        <v>40</v>
      </c>
      <c r="N6" s="218">
        <f t="shared" si="0"/>
        <v>41</v>
      </c>
      <c r="O6" s="218">
        <f t="shared" si="0"/>
        <v>42</v>
      </c>
      <c r="P6" s="218">
        <f t="shared" si="0"/>
        <v>43</v>
      </c>
      <c r="Q6" s="218">
        <f t="shared" si="0"/>
        <v>44</v>
      </c>
      <c r="R6" s="218">
        <f t="shared" si="0"/>
        <v>45</v>
      </c>
      <c r="S6" s="203"/>
      <c r="T6" s="218">
        <f>+R6+1</f>
        <v>46</v>
      </c>
      <c r="U6" s="218">
        <f>+T6+1</f>
        <v>47</v>
      </c>
      <c r="V6" s="203"/>
      <c r="W6" s="218">
        <f>+U6+1</f>
        <v>48</v>
      </c>
      <c r="X6" s="218">
        <f>+W6+1</f>
        <v>49</v>
      </c>
      <c r="Y6" s="184"/>
      <c r="Z6" s="218">
        <f>+X6+1</f>
        <v>50</v>
      </c>
      <c r="AA6" s="218">
        <f>+Z6+1</f>
        <v>51</v>
      </c>
      <c r="AB6" s="184"/>
      <c r="AC6" s="218">
        <f>+AA6+1</f>
        <v>52</v>
      </c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</row>
    <row r="7" spans="2:29" ht="124.5" customHeight="1">
      <c r="B7" s="178" t="s">
        <v>1</v>
      </c>
      <c r="C7" s="184"/>
      <c r="D7" s="174" t="s">
        <v>311</v>
      </c>
      <c r="E7" s="174" t="s">
        <v>312</v>
      </c>
      <c r="F7" s="174" t="s">
        <v>313</v>
      </c>
      <c r="G7" s="210" t="s">
        <v>314</v>
      </c>
      <c r="H7" s="184"/>
      <c r="I7" s="174" t="s">
        <v>326</v>
      </c>
      <c r="J7" s="211" t="s">
        <v>325</v>
      </c>
      <c r="K7" s="211" t="s">
        <v>332</v>
      </c>
      <c r="L7" s="211" t="s">
        <v>324</v>
      </c>
      <c r="M7" s="211" t="s">
        <v>327</v>
      </c>
      <c r="N7" s="174" t="s">
        <v>351</v>
      </c>
      <c r="O7" s="174" t="s">
        <v>336</v>
      </c>
      <c r="P7" s="211" t="s">
        <v>334</v>
      </c>
      <c r="Q7" s="174" t="s">
        <v>320</v>
      </c>
      <c r="R7" s="174" t="s">
        <v>335</v>
      </c>
      <c r="S7" s="184"/>
      <c r="T7" s="174" t="s">
        <v>365</v>
      </c>
      <c r="U7" s="222" t="s">
        <v>316</v>
      </c>
      <c r="V7" s="184"/>
      <c r="W7" s="174" t="s">
        <v>342</v>
      </c>
      <c r="X7" s="222" t="s">
        <v>316</v>
      </c>
      <c r="Y7" s="184"/>
      <c r="Z7" s="174" t="s">
        <v>322</v>
      </c>
      <c r="AA7" s="222" t="s">
        <v>317</v>
      </c>
      <c r="AB7" s="184"/>
      <c r="AC7" s="174" t="s">
        <v>360</v>
      </c>
    </row>
    <row r="8" spans="2:29" ht="3" customHeight="1">
      <c r="B8" s="184"/>
      <c r="C8" s="184"/>
      <c r="D8" s="223"/>
      <c r="E8" s="223"/>
      <c r="F8" s="223"/>
      <c r="G8" s="224"/>
      <c r="H8" s="184"/>
      <c r="I8" s="184"/>
      <c r="J8" s="236"/>
      <c r="K8" s="236"/>
      <c r="L8" s="236"/>
      <c r="M8" s="236"/>
      <c r="N8" s="184"/>
      <c r="O8" s="184"/>
      <c r="P8" s="236"/>
      <c r="Q8" s="184"/>
      <c r="R8" s="184"/>
      <c r="S8" s="184"/>
      <c r="T8" s="177"/>
      <c r="U8" s="216"/>
      <c r="V8" s="184"/>
      <c r="W8" s="216"/>
      <c r="X8" s="216"/>
      <c r="Y8" s="184"/>
      <c r="Z8" s="184"/>
      <c r="AA8" s="225"/>
      <c r="AB8" s="184"/>
      <c r="AC8" s="216"/>
    </row>
    <row r="9" spans="2:29" ht="22.5">
      <c r="B9" s="205" t="s">
        <v>5</v>
      </c>
      <c r="C9" s="177"/>
      <c r="D9" s="226">
        <v>185</v>
      </c>
      <c r="E9" s="226">
        <v>3</v>
      </c>
      <c r="F9" s="226">
        <v>7</v>
      </c>
      <c r="G9" s="227">
        <f aca="true" t="shared" si="1" ref="G9:G46">IF(SUM(E9:F9)=0,"",SUM(E9:F9)/D9)</f>
        <v>0.05405405405405406</v>
      </c>
      <c r="H9" s="177"/>
      <c r="I9" s="213">
        <v>0.3</v>
      </c>
      <c r="J9" s="237">
        <v>0.42</v>
      </c>
      <c r="K9" s="237"/>
      <c r="L9" s="237"/>
      <c r="M9" s="237"/>
      <c r="N9" s="213"/>
      <c r="O9" s="213"/>
      <c r="P9" s="237">
        <v>0.5</v>
      </c>
      <c r="Q9" s="214" t="s">
        <v>321</v>
      </c>
      <c r="R9" s="214" t="s">
        <v>321</v>
      </c>
      <c r="S9" s="177"/>
      <c r="T9" s="237">
        <v>0.25</v>
      </c>
      <c r="U9" s="229" t="s">
        <v>330</v>
      </c>
      <c r="V9" s="177"/>
      <c r="W9" s="213" t="s">
        <v>291</v>
      </c>
      <c r="X9" s="229" t="s">
        <v>330</v>
      </c>
      <c r="Y9" s="177"/>
      <c r="Z9" s="228" t="s">
        <v>291</v>
      </c>
      <c r="AA9" s="229" t="s">
        <v>318</v>
      </c>
      <c r="AB9" s="177"/>
      <c r="AC9" s="228" t="s">
        <v>291</v>
      </c>
    </row>
    <row r="10" spans="2:29" ht="22.5">
      <c r="B10" s="205" t="s">
        <v>29</v>
      </c>
      <c r="C10" s="177"/>
      <c r="D10" s="226">
        <v>270</v>
      </c>
      <c r="E10" s="226">
        <v>2</v>
      </c>
      <c r="F10" s="226">
        <v>15</v>
      </c>
      <c r="G10" s="227">
        <f t="shared" si="1"/>
        <v>0.06296296296296296</v>
      </c>
      <c r="H10" s="177"/>
      <c r="I10" s="213">
        <v>0.05</v>
      </c>
      <c r="J10" s="237"/>
      <c r="K10" s="237"/>
      <c r="L10" s="237">
        <v>0.75</v>
      </c>
      <c r="M10" s="238"/>
      <c r="P10" s="237">
        <v>0.1</v>
      </c>
      <c r="Q10" s="213"/>
      <c r="R10" s="214" t="s">
        <v>321</v>
      </c>
      <c r="S10" s="177"/>
      <c r="T10" s="237">
        <v>0.3</v>
      </c>
      <c r="U10" s="229" t="s">
        <v>328</v>
      </c>
      <c r="V10" s="177"/>
      <c r="W10" s="243">
        <v>3</v>
      </c>
      <c r="X10" s="229" t="s">
        <v>341</v>
      </c>
      <c r="Y10" s="177"/>
      <c r="Z10" s="235" t="s">
        <v>7</v>
      </c>
      <c r="AA10" s="229" t="s">
        <v>237</v>
      </c>
      <c r="AB10" s="177"/>
      <c r="AC10" s="228">
        <v>25</v>
      </c>
    </row>
    <row r="11" spans="2:29" ht="3" customHeight="1">
      <c r="B11" s="206"/>
      <c r="C11" s="184"/>
      <c r="D11" s="223"/>
      <c r="E11" s="223"/>
      <c r="F11" s="223"/>
      <c r="G11" s="224"/>
      <c r="H11" s="184"/>
      <c r="I11" s="177"/>
      <c r="J11" s="237"/>
      <c r="K11" s="237"/>
      <c r="L11" s="237"/>
      <c r="M11" s="237"/>
      <c r="N11" s="177"/>
      <c r="O11" s="177"/>
      <c r="P11" s="237"/>
      <c r="Q11" s="177"/>
      <c r="R11" s="177"/>
      <c r="S11" s="184"/>
      <c r="T11" s="177"/>
      <c r="U11" s="225"/>
      <c r="V11" s="184"/>
      <c r="W11" s="216"/>
      <c r="X11" s="225"/>
      <c r="Y11" s="184"/>
      <c r="Z11" s="216"/>
      <c r="AA11" s="225"/>
      <c r="AB11" s="184"/>
      <c r="AC11" s="216"/>
    </row>
    <row r="12" spans="2:29" ht="15.75">
      <c r="B12" s="205" t="s">
        <v>144</v>
      </c>
      <c r="C12" s="177"/>
      <c r="D12" s="226">
        <v>1403</v>
      </c>
      <c r="E12" s="226">
        <v>10</v>
      </c>
      <c r="F12" s="226">
        <v>50</v>
      </c>
      <c r="G12" s="227">
        <f t="shared" si="1"/>
        <v>0.042765502494654314</v>
      </c>
      <c r="H12" s="177"/>
      <c r="I12" s="213"/>
      <c r="J12" s="237">
        <v>0.25</v>
      </c>
      <c r="K12" s="237"/>
      <c r="L12" s="237"/>
      <c r="M12" s="237"/>
      <c r="N12" s="213"/>
      <c r="O12" s="213"/>
      <c r="P12" s="237">
        <v>0.75</v>
      </c>
      <c r="Q12" s="213"/>
      <c r="R12" s="213"/>
      <c r="S12" s="177"/>
      <c r="T12" s="213" t="s">
        <v>291</v>
      </c>
      <c r="U12" s="240"/>
      <c r="V12" s="177"/>
      <c r="W12" s="213" t="s">
        <v>291</v>
      </c>
      <c r="X12" s="240"/>
      <c r="Y12" s="177"/>
      <c r="Z12" s="235" t="s">
        <v>7</v>
      </c>
      <c r="AA12" s="240"/>
      <c r="AB12" s="177"/>
      <c r="AC12" s="228">
        <v>2</v>
      </c>
    </row>
    <row r="13" spans="2:29" ht="22.5">
      <c r="B13" s="205" t="s">
        <v>178</v>
      </c>
      <c r="C13" s="177"/>
      <c r="D13" s="226">
        <v>184</v>
      </c>
      <c r="E13" s="226">
        <v>1</v>
      </c>
      <c r="F13" s="226">
        <v>20</v>
      </c>
      <c r="G13" s="227">
        <f t="shared" si="1"/>
        <v>0.11413043478260869</v>
      </c>
      <c r="H13" s="177"/>
      <c r="I13" s="213">
        <v>0.6</v>
      </c>
      <c r="J13" s="237"/>
      <c r="K13" s="237"/>
      <c r="L13" s="237"/>
      <c r="M13" s="237"/>
      <c r="N13" s="213"/>
      <c r="O13" s="213"/>
      <c r="P13" s="237">
        <v>0.4</v>
      </c>
      <c r="Q13" s="213"/>
      <c r="R13" s="213"/>
      <c r="S13" s="177"/>
      <c r="T13" s="237">
        <v>0.28</v>
      </c>
      <c r="U13" s="229" t="s">
        <v>331</v>
      </c>
      <c r="V13" s="177"/>
      <c r="W13" s="243">
        <v>1</v>
      </c>
      <c r="X13" s="229"/>
      <c r="Y13" s="177"/>
      <c r="Z13" s="235" t="s">
        <v>7</v>
      </c>
      <c r="AA13" s="229" t="s">
        <v>180</v>
      </c>
      <c r="AB13" s="177"/>
      <c r="AC13" s="228" t="s">
        <v>291</v>
      </c>
    </row>
    <row r="14" spans="2:29" ht="24">
      <c r="B14" s="205" t="s">
        <v>165</v>
      </c>
      <c r="C14" s="177"/>
      <c r="D14" s="226">
        <v>289</v>
      </c>
      <c r="E14" s="226">
        <v>6</v>
      </c>
      <c r="F14" s="226">
        <v>80</v>
      </c>
      <c r="G14" s="227">
        <f t="shared" si="1"/>
        <v>0.2975778546712803</v>
      </c>
      <c r="H14" s="177"/>
      <c r="I14" s="213">
        <v>0.4</v>
      </c>
      <c r="J14" s="237" t="s">
        <v>323</v>
      </c>
      <c r="K14" s="237"/>
      <c r="L14" s="237"/>
      <c r="M14" s="237"/>
      <c r="N14" s="213"/>
      <c r="O14" s="213"/>
      <c r="P14" s="237">
        <v>0.2</v>
      </c>
      <c r="Q14" s="213"/>
      <c r="R14" s="213"/>
      <c r="S14" s="177"/>
      <c r="T14" s="237">
        <v>0.4</v>
      </c>
      <c r="U14" s="229" t="s">
        <v>329</v>
      </c>
      <c r="V14" s="177"/>
      <c r="W14" s="213" t="s">
        <v>291</v>
      </c>
      <c r="X14" s="240"/>
      <c r="Y14" s="177"/>
      <c r="Z14" s="235" t="s">
        <v>7</v>
      </c>
      <c r="AA14" s="229" t="s">
        <v>169</v>
      </c>
      <c r="AB14" s="177"/>
      <c r="AC14" s="228" t="s">
        <v>291</v>
      </c>
    </row>
    <row r="15" spans="2:29" ht="3" customHeight="1">
      <c r="B15" s="206"/>
      <c r="C15" s="184"/>
      <c r="D15" s="223"/>
      <c r="E15" s="223"/>
      <c r="F15" s="223"/>
      <c r="G15" s="224"/>
      <c r="H15" s="184"/>
      <c r="I15" s="177"/>
      <c r="J15" s="237"/>
      <c r="K15" s="237"/>
      <c r="L15" s="237"/>
      <c r="M15" s="237"/>
      <c r="N15" s="177"/>
      <c r="O15" s="177"/>
      <c r="P15" s="237"/>
      <c r="Q15" s="177"/>
      <c r="R15" s="177"/>
      <c r="S15" s="184"/>
      <c r="T15" s="177"/>
      <c r="U15" s="225"/>
      <c r="V15" s="184"/>
      <c r="W15" s="216"/>
      <c r="X15" s="225"/>
      <c r="Y15" s="184"/>
      <c r="Z15" s="216"/>
      <c r="AA15" s="225"/>
      <c r="AB15" s="184"/>
      <c r="AC15" s="216"/>
    </row>
    <row r="16" spans="2:29" ht="15.75">
      <c r="B16" s="205" t="s">
        <v>224</v>
      </c>
      <c r="C16" s="177"/>
      <c r="D16" s="226">
        <v>694</v>
      </c>
      <c r="E16" s="226">
        <v>20</v>
      </c>
      <c r="F16" s="226">
        <v>75</v>
      </c>
      <c r="G16" s="227">
        <f t="shared" si="1"/>
        <v>0.13688760806916425</v>
      </c>
      <c r="H16" s="177"/>
      <c r="I16" s="213"/>
      <c r="J16" s="237"/>
      <c r="K16" s="237">
        <v>1</v>
      </c>
      <c r="L16" s="237"/>
      <c r="M16" s="238"/>
      <c r="P16" s="237"/>
      <c r="Q16" s="213"/>
      <c r="R16" s="213"/>
      <c r="S16" s="177"/>
      <c r="T16" s="213" t="s">
        <v>291</v>
      </c>
      <c r="U16" s="240"/>
      <c r="V16" s="177"/>
      <c r="W16" s="213" t="s">
        <v>291</v>
      </c>
      <c r="X16" s="240"/>
      <c r="Y16" s="177"/>
      <c r="Z16" s="235" t="s">
        <v>7</v>
      </c>
      <c r="AA16" s="229" t="s">
        <v>228</v>
      </c>
      <c r="AB16" s="177"/>
      <c r="AC16" s="230">
        <v>12</v>
      </c>
    </row>
    <row r="17" spans="2:29" ht="15.75">
      <c r="B17" s="205" t="s">
        <v>198</v>
      </c>
      <c r="C17" s="177"/>
      <c r="D17" s="226">
        <v>957</v>
      </c>
      <c r="E17" s="226">
        <v>8</v>
      </c>
      <c r="F17" s="226">
        <v>85</v>
      </c>
      <c r="G17" s="227">
        <f t="shared" si="1"/>
        <v>0.09717868338557993</v>
      </c>
      <c r="H17" s="177"/>
      <c r="I17" s="213"/>
      <c r="J17" s="237">
        <v>1</v>
      </c>
      <c r="K17" s="237"/>
      <c r="L17" s="237"/>
      <c r="M17" s="237"/>
      <c r="N17" s="213"/>
      <c r="O17" s="213"/>
      <c r="P17" s="237"/>
      <c r="Q17" s="213"/>
      <c r="R17" s="213"/>
      <c r="S17" s="177"/>
      <c r="T17" s="213" t="s">
        <v>291</v>
      </c>
      <c r="U17" s="240"/>
      <c r="V17" s="177"/>
      <c r="W17" s="213" t="s">
        <v>291</v>
      </c>
      <c r="X17" s="240"/>
      <c r="Y17" s="177"/>
      <c r="Z17" s="228" t="s">
        <v>291</v>
      </c>
      <c r="AA17" s="229" t="s">
        <v>201</v>
      </c>
      <c r="AB17" s="177"/>
      <c r="AC17" s="228" t="s">
        <v>291</v>
      </c>
    </row>
    <row r="18" spans="2:29" ht="15.75">
      <c r="B18" s="205" t="s">
        <v>8</v>
      </c>
      <c r="C18" s="177"/>
      <c r="D18" s="226">
        <v>150</v>
      </c>
      <c r="E18" s="226">
        <v>9</v>
      </c>
      <c r="F18" s="226">
        <v>15</v>
      </c>
      <c r="G18" s="227">
        <f t="shared" si="1"/>
        <v>0.16</v>
      </c>
      <c r="H18" s="177"/>
      <c r="I18" s="213">
        <v>0.1</v>
      </c>
      <c r="J18" s="237"/>
      <c r="K18" s="237"/>
      <c r="L18" s="237"/>
      <c r="M18" s="237"/>
      <c r="N18" s="213"/>
      <c r="O18" s="213"/>
      <c r="P18" s="237">
        <v>0.9</v>
      </c>
      <c r="Q18" s="213"/>
      <c r="R18" s="213"/>
      <c r="S18" s="177"/>
      <c r="T18" s="237">
        <v>0.1</v>
      </c>
      <c r="U18" s="229" t="s">
        <v>333</v>
      </c>
      <c r="V18" s="177"/>
      <c r="W18" s="213" t="s">
        <v>291</v>
      </c>
      <c r="X18" s="240"/>
      <c r="Y18" s="177"/>
      <c r="Z18" s="235" t="s">
        <v>7</v>
      </c>
      <c r="AA18" s="229"/>
      <c r="AB18" s="177"/>
      <c r="AC18" s="228" t="s">
        <v>291</v>
      </c>
    </row>
    <row r="19" spans="2:29" ht="3" customHeight="1">
      <c r="B19" s="206"/>
      <c r="C19" s="184"/>
      <c r="D19" s="223"/>
      <c r="E19" s="223"/>
      <c r="F19" s="223"/>
      <c r="G19" s="224"/>
      <c r="H19" s="184"/>
      <c r="I19" s="177"/>
      <c r="J19" s="237"/>
      <c r="K19" s="237"/>
      <c r="L19" s="237"/>
      <c r="M19" s="237"/>
      <c r="N19" s="177"/>
      <c r="O19" s="177"/>
      <c r="P19" s="237"/>
      <c r="Q19" s="177"/>
      <c r="R19" s="177"/>
      <c r="S19" s="184"/>
      <c r="T19" s="177"/>
      <c r="U19" s="225"/>
      <c r="V19" s="184"/>
      <c r="W19" s="216"/>
      <c r="X19" s="225"/>
      <c r="Y19" s="184"/>
      <c r="Z19" s="216"/>
      <c r="AA19" s="225"/>
      <c r="AB19" s="184"/>
      <c r="AC19" s="216"/>
    </row>
    <row r="20" spans="2:29" ht="22.5">
      <c r="B20" s="205" t="s">
        <v>2</v>
      </c>
      <c r="C20" s="177"/>
      <c r="D20" s="231">
        <v>767</v>
      </c>
      <c r="E20" s="231">
        <v>3</v>
      </c>
      <c r="F20" s="231">
        <v>62</v>
      </c>
      <c r="G20" s="227">
        <f t="shared" si="1"/>
        <v>0.0847457627118644</v>
      </c>
      <c r="H20" s="177"/>
      <c r="I20" s="213"/>
      <c r="J20" s="237"/>
      <c r="K20" s="237"/>
      <c r="L20" s="237"/>
      <c r="M20" s="237">
        <v>0.95</v>
      </c>
      <c r="N20" s="213"/>
      <c r="O20" s="213"/>
      <c r="P20" s="237">
        <v>0.05</v>
      </c>
      <c r="Q20" s="213"/>
      <c r="R20" s="213"/>
      <c r="S20" s="177"/>
      <c r="T20" s="237">
        <v>0.03</v>
      </c>
      <c r="U20" s="232" t="s">
        <v>206</v>
      </c>
      <c r="V20" s="177"/>
      <c r="W20" s="213" t="s">
        <v>291</v>
      </c>
      <c r="X20" s="240"/>
      <c r="Y20" s="177"/>
      <c r="Z20" s="235" t="s">
        <v>7</v>
      </c>
      <c r="AA20" s="229" t="s">
        <v>204</v>
      </c>
      <c r="AB20" s="177"/>
      <c r="AC20" s="228">
        <v>31</v>
      </c>
    </row>
    <row r="21" spans="2:29" ht="15.75">
      <c r="B21" s="205" t="s">
        <v>232</v>
      </c>
      <c r="C21" s="177"/>
      <c r="D21" s="231">
        <v>257</v>
      </c>
      <c r="E21" s="231">
        <v>5</v>
      </c>
      <c r="F21" s="231">
        <v>10</v>
      </c>
      <c r="G21" s="227">
        <f t="shared" si="1"/>
        <v>0.058365758754863814</v>
      </c>
      <c r="H21" s="177"/>
      <c r="I21" s="213"/>
      <c r="J21" s="237"/>
      <c r="K21" s="237"/>
      <c r="L21" s="237"/>
      <c r="M21" s="237"/>
      <c r="N21" s="213"/>
      <c r="O21" s="213">
        <v>0.75</v>
      </c>
      <c r="P21" s="237">
        <v>0.25</v>
      </c>
      <c r="Q21" s="213"/>
      <c r="R21" s="213"/>
      <c r="S21" s="177"/>
      <c r="T21" s="237">
        <v>0.25</v>
      </c>
      <c r="U21" s="233" t="s">
        <v>337</v>
      </c>
      <c r="V21" s="177"/>
      <c r="W21" s="244">
        <v>1</v>
      </c>
      <c r="X21" s="233" t="s">
        <v>343</v>
      </c>
      <c r="Y21" s="177"/>
      <c r="Z21" s="235" t="s">
        <v>7</v>
      </c>
      <c r="AA21" s="229"/>
      <c r="AB21" s="177"/>
      <c r="AC21" s="228" t="s">
        <v>291</v>
      </c>
    </row>
    <row r="22" spans="2:29" ht="33.75">
      <c r="B22" s="205" t="s">
        <v>102</v>
      </c>
      <c r="C22" s="177"/>
      <c r="D22" s="226">
        <v>570</v>
      </c>
      <c r="E22" s="226"/>
      <c r="F22" s="226">
        <v>40</v>
      </c>
      <c r="G22" s="227">
        <f t="shared" si="1"/>
        <v>0.07017543859649122</v>
      </c>
      <c r="H22" s="177"/>
      <c r="I22" s="214" t="s">
        <v>338</v>
      </c>
      <c r="J22" s="237"/>
      <c r="K22" s="237"/>
      <c r="L22" s="237"/>
      <c r="M22" s="237"/>
      <c r="N22" s="213"/>
      <c r="O22" s="213"/>
      <c r="P22" s="237">
        <v>0.99</v>
      </c>
      <c r="Q22" s="213"/>
      <c r="R22" s="213"/>
      <c r="S22" s="177"/>
      <c r="T22" s="213" t="s">
        <v>291</v>
      </c>
      <c r="U22" s="240"/>
      <c r="V22" s="177"/>
      <c r="W22" s="213" t="s">
        <v>291</v>
      </c>
      <c r="X22" s="240"/>
      <c r="Y22" s="177"/>
      <c r="Z22" s="235" t="s">
        <v>7</v>
      </c>
      <c r="AA22" s="229" t="s">
        <v>319</v>
      </c>
      <c r="AB22" s="177"/>
      <c r="AC22" s="228" t="s">
        <v>291</v>
      </c>
    </row>
    <row r="23" spans="2:29" ht="3" customHeight="1">
      <c r="B23" s="206"/>
      <c r="C23" s="184"/>
      <c r="D23" s="223"/>
      <c r="E23" s="223"/>
      <c r="F23" s="223"/>
      <c r="G23" s="224"/>
      <c r="H23" s="184"/>
      <c r="I23" s="177"/>
      <c r="J23" s="237"/>
      <c r="K23" s="237"/>
      <c r="L23" s="237"/>
      <c r="M23" s="237"/>
      <c r="N23" s="177"/>
      <c r="O23" s="177"/>
      <c r="P23" s="237"/>
      <c r="Q23" s="177"/>
      <c r="R23" s="177"/>
      <c r="S23" s="184"/>
      <c r="T23" s="177"/>
      <c r="U23" s="225"/>
      <c r="V23" s="184"/>
      <c r="W23" s="216"/>
      <c r="X23" s="225"/>
      <c r="Y23" s="184"/>
      <c r="Z23" s="216"/>
      <c r="AA23" s="225"/>
      <c r="AB23" s="184"/>
      <c r="AC23" s="216"/>
    </row>
    <row r="24" spans="2:29" ht="15.75">
      <c r="B24" s="207" t="s">
        <v>12</v>
      </c>
      <c r="C24" s="177"/>
      <c r="D24" s="226">
        <v>750</v>
      </c>
      <c r="E24" s="226">
        <v>2</v>
      </c>
      <c r="F24" s="226">
        <v>83</v>
      </c>
      <c r="G24" s="227">
        <f t="shared" si="1"/>
        <v>0.11333333333333333</v>
      </c>
      <c r="H24" s="177"/>
      <c r="I24" s="213"/>
      <c r="J24" s="238"/>
      <c r="K24" s="237"/>
      <c r="L24" s="237"/>
      <c r="M24" s="237">
        <v>1</v>
      </c>
      <c r="N24" s="213"/>
      <c r="O24" s="213"/>
      <c r="P24" s="237"/>
      <c r="Q24" s="213"/>
      <c r="R24" s="213"/>
      <c r="S24" s="177"/>
      <c r="T24" s="213" t="s">
        <v>291</v>
      </c>
      <c r="U24" s="240" t="s">
        <v>37</v>
      </c>
      <c r="V24" s="177"/>
      <c r="W24" s="243">
        <v>1</v>
      </c>
      <c r="X24" s="229" t="s">
        <v>344</v>
      </c>
      <c r="Y24" s="177"/>
      <c r="Z24" s="235" t="s">
        <v>7</v>
      </c>
      <c r="AA24" s="240"/>
      <c r="AB24" s="177"/>
      <c r="AC24" s="228" t="s">
        <v>291</v>
      </c>
    </row>
    <row r="25" spans="2:29" ht="22.5">
      <c r="B25" s="205" t="s">
        <v>123</v>
      </c>
      <c r="C25" s="177"/>
      <c r="D25" s="226">
        <v>1250</v>
      </c>
      <c r="E25" s="226">
        <v>25</v>
      </c>
      <c r="F25" s="226">
        <v>80</v>
      </c>
      <c r="G25" s="227">
        <f t="shared" si="1"/>
        <v>0.084</v>
      </c>
      <c r="H25" s="177"/>
      <c r="I25" s="213">
        <v>0.1</v>
      </c>
      <c r="J25" s="237">
        <v>0.9</v>
      </c>
      <c r="K25" s="237"/>
      <c r="L25" s="237"/>
      <c r="M25" s="237"/>
      <c r="N25" s="213"/>
      <c r="O25" s="213"/>
      <c r="P25" s="237"/>
      <c r="Q25" s="213"/>
      <c r="R25" s="213"/>
      <c r="S25" s="177"/>
      <c r="T25" s="237">
        <v>0.05</v>
      </c>
      <c r="U25" s="229" t="s">
        <v>339</v>
      </c>
      <c r="V25" s="177"/>
      <c r="W25" s="244">
        <v>2</v>
      </c>
      <c r="X25" s="229" t="s">
        <v>339</v>
      </c>
      <c r="Y25" s="177"/>
      <c r="Z25" s="235" t="s">
        <v>7</v>
      </c>
      <c r="AA25" s="229" t="s">
        <v>126</v>
      </c>
      <c r="AB25" s="177"/>
      <c r="AC25" s="228">
        <v>10</v>
      </c>
    </row>
    <row r="26" spans="2:29" ht="22.5">
      <c r="B26" s="205" t="s">
        <v>13</v>
      </c>
      <c r="C26" s="177"/>
      <c r="D26" s="226">
        <v>1200</v>
      </c>
      <c r="E26" s="226">
        <v>5</v>
      </c>
      <c r="F26" s="226">
        <v>50</v>
      </c>
      <c r="G26" s="227">
        <f t="shared" si="1"/>
        <v>0.04583333333333333</v>
      </c>
      <c r="H26" s="177"/>
      <c r="I26" s="213">
        <v>0.4</v>
      </c>
      <c r="J26" s="237">
        <v>0.1</v>
      </c>
      <c r="K26" s="237"/>
      <c r="L26" s="237"/>
      <c r="M26" s="237"/>
      <c r="N26" s="213"/>
      <c r="O26" s="213"/>
      <c r="P26" s="237">
        <v>0.5</v>
      </c>
      <c r="Q26" s="213"/>
      <c r="R26" s="213" t="s">
        <v>7</v>
      </c>
      <c r="S26" s="177"/>
      <c r="T26" s="237">
        <v>0.98</v>
      </c>
      <c r="U26" s="229" t="s">
        <v>340</v>
      </c>
      <c r="V26" s="177"/>
      <c r="W26" s="213" t="s">
        <v>291</v>
      </c>
      <c r="X26" s="240"/>
      <c r="Y26" s="177"/>
      <c r="Z26" s="235" t="s">
        <v>7</v>
      </c>
      <c r="AA26" s="229" t="s">
        <v>366</v>
      </c>
      <c r="AB26" s="177"/>
      <c r="AC26" s="228">
        <v>1</v>
      </c>
    </row>
    <row r="27" spans="2:29" ht="3" customHeight="1">
      <c r="B27" s="206"/>
      <c r="C27" s="184"/>
      <c r="D27" s="223"/>
      <c r="E27" s="223"/>
      <c r="F27" s="223"/>
      <c r="G27" s="224"/>
      <c r="H27" s="184"/>
      <c r="I27" s="177"/>
      <c r="J27" s="237"/>
      <c r="K27" s="237"/>
      <c r="L27" s="237"/>
      <c r="M27" s="237"/>
      <c r="N27" s="177"/>
      <c r="O27" s="177"/>
      <c r="P27" s="237"/>
      <c r="Q27" s="177"/>
      <c r="R27" s="177"/>
      <c r="S27" s="184"/>
      <c r="T27" s="177"/>
      <c r="U27" s="225"/>
      <c r="V27" s="184"/>
      <c r="W27" s="216"/>
      <c r="X27" s="225"/>
      <c r="Y27" s="184"/>
      <c r="Z27" s="216"/>
      <c r="AA27" s="225"/>
      <c r="AB27" s="184"/>
      <c r="AC27" s="216"/>
    </row>
    <row r="28" spans="2:29" ht="15.75">
      <c r="B28" s="205" t="s">
        <v>17</v>
      </c>
      <c r="C28" s="177"/>
      <c r="D28" s="226">
        <v>930</v>
      </c>
      <c r="E28" s="226">
        <v>11</v>
      </c>
      <c r="F28" s="226">
        <v>32</v>
      </c>
      <c r="G28" s="227">
        <f t="shared" si="1"/>
        <v>0.046236559139784944</v>
      </c>
      <c r="H28" s="177"/>
      <c r="I28" s="213"/>
      <c r="J28" s="237">
        <v>1</v>
      </c>
      <c r="K28" s="237"/>
      <c r="L28" s="237"/>
      <c r="M28" s="237"/>
      <c r="N28" s="213"/>
      <c r="O28" s="213"/>
      <c r="P28" s="237"/>
      <c r="Q28" s="213"/>
      <c r="R28" s="213"/>
      <c r="S28" s="177"/>
      <c r="T28" s="213" t="s">
        <v>291</v>
      </c>
      <c r="U28" s="240"/>
      <c r="V28" s="177"/>
      <c r="W28" s="213" t="s">
        <v>291</v>
      </c>
      <c r="X28" s="240"/>
      <c r="Y28" s="177"/>
      <c r="Z28" s="235" t="s">
        <v>7</v>
      </c>
      <c r="AA28" s="229" t="s">
        <v>131</v>
      </c>
      <c r="AB28" s="177"/>
      <c r="AC28" s="228">
        <v>8</v>
      </c>
    </row>
    <row r="29" spans="2:29" ht="15.75">
      <c r="B29" s="205" t="s">
        <v>38</v>
      </c>
      <c r="C29" s="177"/>
      <c r="D29" s="231">
        <v>300</v>
      </c>
      <c r="E29" s="231">
        <v>3</v>
      </c>
      <c r="F29" s="231">
        <v>25</v>
      </c>
      <c r="G29" s="227">
        <f t="shared" si="1"/>
        <v>0.09333333333333334</v>
      </c>
      <c r="H29" s="177"/>
      <c r="I29" s="213">
        <v>0.4</v>
      </c>
      <c r="J29" s="237">
        <v>0.6</v>
      </c>
      <c r="K29" s="239" t="s">
        <v>345</v>
      </c>
      <c r="L29" s="237"/>
      <c r="M29" s="237"/>
      <c r="N29" s="213"/>
      <c r="O29" s="213"/>
      <c r="P29" s="237"/>
      <c r="Q29" s="213"/>
      <c r="R29" s="213"/>
      <c r="S29" s="177"/>
      <c r="T29" s="237">
        <v>0.6</v>
      </c>
      <c r="U29" s="229"/>
      <c r="V29" s="177"/>
      <c r="W29" s="213" t="s">
        <v>291</v>
      </c>
      <c r="X29" s="240"/>
      <c r="Y29" s="177"/>
      <c r="Z29" s="235" t="s">
        <v>7</v>
      </c>
      <c r="AA29" s="229" t="s">
        <v>191</v>
      </c>
      <c r="AB29" s="177"/>
      <c r="AC29" s="228">
        <v>2</v>
      </c>
    </row>
    <row r="30" spans="2:29" ht="15.75">
      <c r="B30" s="205" t="s">
        <v>194</v>
      </c>
      <c r="C30" s="177"/>
      <c r="D30" s="231">
        <v>250</v>
      </c>
      <c r="E30" s="231">
        <v>40</v>
      </c>
      <c r="F30" s="231">
        <v>30</v>
      </c>
      <c r="G30" s="227">
        <f t="shared" si="1"/>
        <v>0.28</v>
      </c>
      <c r="H30" s="177"/>
      <c r="I30" s="213"/>
      <c r="J30" s="237">
        <v>1</v>
      </c>
      <c r="K30" s="237"/>
      <c r="L30" s="237"/>
      <c r="M30" s="237"/>
      <c r="N30" s="213"/>
      <c r="O30" s="213"/>
      <c r="P30" s="237"/>
      <c r="Q30" s="213"/>
      <c r="R30" s="213"/>
      <c r="S30" s="177"/>
      <c r="T30" s="213" t="s">
        <v>291</v>
      </c>
      <c r="U30" s="240"/>
      <c r="V30" s="177"/>
      <c r="W30" s="213" t="s">
        <v>291</v>
      </c>
      <c r="X30" s="240"/>
      <c r="Y30" s="177"/>
      <c r="Z30" s="235" t="s">
        <v>7</v>
      </c>
      <c r="AA30" s="229" t="s">
        <v>355</v>
      </c>
      <c r="AB30" s="177"/>
      <c r="AC30" s="228" t="s">
        <v>291</v>
      </c>
    </row>
    <row r="31" spans="2:29" ht="3" customHeight="1">
      <c r="B31" s="206"/>
      <c r="C31" s="184"/>
      <c r="D31" s="223"/>
      <c r="E31" s="223"/>
      <c r="F31" s="223"/>
      <c r="G31" s="224"/>
      <c r="H31" s="184"/>
      <c r="I31" s="177"/>
      <c r="J31" s="237"/>
      <c r="K31" s="237"/>
      <c r="L31" s="237"/>
      <c r="M31" s="237"/>
      <c r="N31" s="177"/>
      <c r="O31" s="177"/>
      <c r="P31" s="237"/>
      <c r="Q31" s="177"/>
      <c r="R31" s="177"/>
      <c r="S31" s="184"/>
      <c r="T31" s="177"/>
      <c r="U31" s="225"/>
      <c r="V31" s="184"/>
      <c r="W31" s="216"/>
      <c r="X31" s="225"/>
      <c r="Y31" s="184"/>
      <c r="Z31" s="216"/>
      <c r="AA31" s="225"/>
      <c r="AB31" s="184"/>
      <c r="AC31" s="216"/>
    </row>
    <row r="32" spans="2:29" ht="15.75">
      <c r="B32" s="205" t="s">
        <v>16</v>
      </c>
      <c r="C32" s="177"/>
      <c r="D32" s="226">
        <v>269</v>
      </c>
      <c r="E32" s="226">
        <v>8</v>
      </c>
      <c r="F32" s="226">
        <v>6</v>
      </c>
      <c r="G32" s="227">
        <f t="shared" si="1"/>
        <v>0.05204460966542751</v>
      </c>
      <c r="H32" s="177"/>
      <c r="I32" s="213"/>
      <c r="J32" s="237">
        <v>1</v>
      </c>
      <c r="K32" s="237"/>
      <c r="L32" s="237"/>
      <c r="M32" s="237"/>
      <c r="N32" s="213"/>
      <c r="O32" s="213"/>
      <c r="P32" s="237"/>
      <c r="Q32" s="213"/>
      <c r="R32" s="213"/>
      <c r="S32" s="177"/>
      <c r="T32" s="213" t="s">
        <v>291</v>
      </c>
      <c r="U32" s="240"/>
      <c r="V32" s="177"/>
      <c r="W32" s="213" t="s">
        <v>291</v>
      </c>
      <c r="X32" s="240"/>
      <c r="Y32" s="177"/>
      <c r="Z32" s="228" t="s">
        <v>291</v>
      </c>
      <c r="AA32" s="229" t="s">
        <v>126</v>
      </c>
      <c r="AB32" s="177"/>
      <c r="AC32" s="228" t="s">
        <v>291</v>
      </c>
    </row>
    <row r="33" spans="2:29" ht="33.75">
      <c r="B33" s="205" t="s">
        <v>103</v>
      </c>
      <c r="C33" s="177"/>
      <c r="D33" s="226">
        <v>400</v>
      </c>
      <c r="E33" s="226">
        <v>2</v>
      </c>
      <c r="F33" s="226">
        <v>32</v>
      </c>
      <c r="G33" s="227">
        <f t="shared" si="1"/>
        <v>0.085</v>
      </c>
      <c r="H33" s="177"/>
      <c r="I33" s="213"/>
      <c r="J33" s="237">
        <v>0.9</v>
      </c>
      <c r="K33" s="237"/>
      <c r="L33" s="237"/>
      <c r="M33" s="237"/>
      <c r="N33" s="213"/>
      <c r="O33" s="213"/>
      <c r="P33" s="237">
        <v>0.1</v>
      </c>
      <c r="Q33" s="213"/>
      <c r="R33" s="213"/>
      <c r="S33" s="177"/>
      <c r="T33" s="237">
        <v>0.1</v>
      </c>
      <c r="U33" s="229" t="s">
        <v>346</v>
      </c>
      <c r="V33" s="177"/>
      <c r="W33" s="243">
        <v>2</v>
      </c>
      <c r="X33" s="229" t="s">
        <v>347</v>
      </c>
      <c r="Y33" s="177"/>
      <c r="Z33" s="235" t="s">
        <v>7</v>
      </c>
      <c r="AA33" s="229" t="s">
        <v>105</v>
      </c>
      <c r="AB33" s="177"/>
      <c r="AC33" s="228">
        <v>1</v>
      </c>
    </row>
    <row r="34" spans="2:29" ht="3" customHeight="1">
      <c r="B34" s="206"/>
      <c r="C34" s="184"/>
      <c r="D34" s="223"/>
      <c r="E34" s="223"/>
      <c r="F34" s="223"/>
      <c r="G34" s="224"/>
      <c r="H34" s="184"/>
      <c r="I34" s="177"/>
      <c r="J34" s="237"/>
      <c r="K34" s="237"/>
      <c r="L34" s="237"/>
      <c r="M34" s="237"/>
      <c r="N34" s="177"/>
      <c r="O34" s="177"/>
      <c r="P34" s="237"/>
      <c r="Q34" s="177"/>
      <c r="R34" s="177"/>
      <c r="S34" s="184"/>
      <c r="T34" s="177"/>
      <c r="U34" s="225"/>
      <c r="V34" s="184"/>
      <c r="W34" s="216"/>
      <c r="X34" s="225"/>
      <c r="Y34" s="184"/>
      <c r="Z34" s="216"/>
      <c r="AA34" s="225"/>
      <c r="AB34" s="184"/>
      <c r="AC34" s="216"/>
    </row>
    <row r="35" spans="2:29" ht="22.5">
      <c r="B35" s="205" t="s">
        <v>18</v>
      </c>
      <c r="C35" s="177"/>
      <c r="D35" s="226">
        <v>1050</v>
      </c>
      <c r="E35" s="226">
        <v>15</v>
      </c>
      <c r="F35" s="226">
        <v>35</v>
      </c>
      <c r="G35" s="227">
        <f t="shared" si="1"/>
        <v>0.047619047619047616</v>
      </c>
      <c r="H35" s="177"/>
      <c r="I35" s="213"/>
      <c r="J35" s="237">
        <v>0.65</v>
      </c>
      <c r="K35" s="237"/>
      <c r="L35" s="237"/>
      <c r="M35" s="237"/>
      <c r="N35" s="213"/>
      <c r="O35" s="213"/>
      <c r="P35" s="237">
        <v>0.35</v>
      </c>
      <c r="Q35" s="213"/>
      <c r="R35" s="213"/>
      <c r="S35" s="177"/>
      <c r="T35" s="237">
        <v>0.4</v>
      </c>
      <c r="U35" s="229" t="s">
        <v>348</v>
      </c>
      <c r="V35" s="177"/>
      <c r="W35" s="228"/>
      <c r="X35" s="229" t="s">
        <v>349</v>
      </c>
      <c r="Y35" s="177"/>
      <c r="Z35" s="228" t="s">
        <v>291</v>
      </c>
      <c r="AA35" s="229"/>
      <c r="AB35" s="177"/>
      <c r="AC35" s="228" t="s">
        <v>291</v>
      </c>
    </row>
    <row r="36" spans="2:29" ht="15.75">
      <c r="B36" s="205" t="s">
        <v>231</v>
      </c>
      <c r="C36" s="177"/>
      <c r="D36" s="226">
        <v>345</v>
      </c>
      <c r="E36" s="226">
        <v>19</v>
      </c>
      <c r="F36" s="226">
        <v>10</v>
      </c>
      <c r="G36" s="227">
        <f t="shared" si="1"/>
        <v>0.08405797101449275</v>
      </c>
      <c r="H36" s="177"/>
      <c r="I36" s="213"/>
      <c r="J36" s="237">
        <v>0.75</v>
      </c>
      <c r="K36" s="239"/>
      <c r="L36" s="237"/>
      <c r="M36" s="237"/>
      <c r="N36" s="213"/>
      <c r="O36" s="242" t="s">
        <v>350</v>
      </c>
      <c r="P36" s="237">
        <v>0.25</v>
      </c>
      <c r="Q36" s="213"/>
      <c r="R36" s="213"/>
      <c r="S36" s="177"/>
      <c r="T36" s="213" t="s">
        <v>291</v>
      </c>
      <c r="U36" s="240"/>
      <c r="V36" s="177"/>
      <c r="W36" s="213" t="s">
        <v>291</v>
      </c>
      <c r="X36" s="240"/>
      <c r="Y36" s="177"/>
      <c r="Z36" s="235" t="s">
        <v>7</v>
      </c>
      <c r="AA36" s="229" t="s">
        <v>356</v>
      </c>
      <c r="AB36" s="177"/>
      <c r="AC36" s="228" t="s">
        <v>291</v>
      </c>
    </row>
    <row r="37" spans="2:29" ht="3" customHeight="1">
      <c r="B37" s="206"/>
      <c r="C37" s="184"/>
      <c r="D37" s="223"/>
      <c r="E37" s="223"/>
      <c r="F37" s="223"/>
      <c r="G37" s="224"/>
      <c r="H37" s="184"/>
      <c r="I37" s="177"/>
      <c r="J37" s="237"/>
      <c r="K37" s="237"/>
      <c r="L37" s="237"/>
      <c r="M37" s="237"/>
      <c r="N37" s="177"/>
      <c r="O37" s="177"/>
      <c r="P37" s="237"/>
      <c r="Q37" s="177"/>
      <c r="R37" s="177"/>
      <c r="S37" s="184"/>
      <c r="T37" s="177"/>
      <c r="U37" s="225"/>
      <c r="V37" s="184"/>
      <c r="W37" s="216"/>
      <c r="X37" s="225"/>
      <c r="Y37" s="184"/>
      <c r="Z37" s="216"/>
      <c r="AA37" s="225"/>
      <c r="AB37" s="184"/>
      <c r="AC37" s="216"/>
    </row>
    <row r="38" spans="2:29" ht="15.75">
      <c r="B38" s="205" t="s">
        <v>141</v>
      </c>
      <c r="C38" s="197"/>
      <c r="D38" s="226">
        <v>339</v>
      </c>
      <c r="E38" s="226">
        <v>10</v>
      </c>
      <c r="F38" s="226">
        <v>7</v>
      </c>
      <c r="G38" s="227">
        <f t="shared" si="1"/>
        <v>0.05014749262536873</v>
      </c>
      <c r="H38" s="197"/>
      <c r="I38" s="213">
        <v>1</v>
      </c>
      <c r="J38" s="237"/>
      <c r="K38" s="237"/>
      <c r="L38" s="237"/>
      <c r="M38" s="237"/>
      <c r="N38" s="213"/>
      <c r="O38" s="213"/>
      <c r="P38" s="237"/>
      <c r="Q38" s="213"/>
      <c r="R38" s="213"/>
      <c r="S38" s="197"/>
      <c r="T38" s="213" t="s">
        <v>291</v>
      </c>
      <c r="U38" s="240"/>
      <c r="V38" s="177"/>
      <c r="W38" s="213" t="s">
        <v>291</v>
      </c>
      <c r="X38" s="240"/>
      <c r="Y38" s="197"/>
      <c r="Z38" s="235" t="s">
        <v>7</v>
      </c>
      <c r="AA38" s="229" t="s">
        <v>131</v>
      </c>
      <c r="AB38" s="197"/>
      <c r="AC38" s="228" t="s">
        <v>291</v>
      </c>
    </row>
    <row r="39" spans="2:29" ht="15.75">
      <c r="B39" s="205" t="s">
        <v>24</v>
      </c>
      <c r="C39" s="177"/>
      <c r="D39" s="226">
        <v>284</v>
      </c>
      <c r="E39" s="234">
        <v>0.3</v>
      </c>
      <c r="F39" s="226">
        <v>17</v>
      </c>
      <c r="G39" s="227">
        <f t="shared" si="1"/>
        <v>0.06091549295774648</v>
      </c>
      <c r="H39" s="177"/>
      <c r="I39" s="213"/>
      <c r="J39" s="237">
        <v>0.66</v>
      </c>
      <c r="K39" s="237"/>
      <c r="L39" s="237"/>
      <c r="M39" s="237"/>
      <c r="N39" s="213"/>
      <c r="O39" s="213"/>
      <c r="P39" s="237">
        <v>0.34</v>
      </c>
      <c r="Q39" s="213"/>
      <c r="R39" s="213"/>
      <c r="S39" s="177"/>
      <c r="T39" s="213" t="s">
        <v>291</v>
      </c>
      <c r="U39" s="240"/>
      <c r="V39" s="177"/>
      <c r="W39" s="213" t="s">
        <v>291</v>
      </c>
      <c r="X39" s="240"/>
      <c r="Y39" s="177"/>
      <c r="Z39" s="235" t="s">
        <v>7</v>
      </c>
      <c r="AA39" s="229" t="s">
        <v>136</v>
      </c>
      <c r="AB39" s="177"/>
      <c r="AC39" s="228" t="s">
        <v>291</v>
      </c>
    </row>
    <row r="40" spans="2:29" ht="15.75">
      <c r="B40" s="205" t="s">
        <v>157</v>
      </c>
      <c r="C40" s="177"/>
      <c r="D40" s="226">
        <v>585</v>
      </c>
      <c r="E40" s="226">
        <v>8</v>
      </c>
      <c r="F40" s="226">
        <v>2</v>
      </c>
      <c r="G40" s="227">
        <f>IF(SUM(E40:F40)=0,"",SUM(E40:F40)/D40)</f>
        <v>0.017094017094017096</v>
      </c>
      <c r="H40" s="177"/>
      <c r="I40" s="213"/>
      <c r="J40" s="237">
        <v>1</v>
      </c>
      <c r="K40" s="237"/>
      <c r="L40" s="237"/>
      <c r="M40" s="237"/>
      <c r="N40" s="213"/>
      <c r="O40" s="213"/>
      <c r="P40" s="237"/>
      <c r="Q40" s="213"/>
      <c r="R40" s="213"/>
      <c r="S40" s="177"/>
      <c r="T40" s="213" t="s">
        <v>291</v>
      </c>
      <c r="U40" s="240"/>
      <c r="V40" s="177"/>
      <c r="W40" s="213" t="s">
        <v>291</v>
      </c>
      <c r="X40" s="240"/>
      <c r="Y40" s="177"/>
      <c r="Z40" s="235" t="s">
        <v>7</v>
      </c>
      <c r="AA40" s="229" t="s">
        <v>173</v>
      </c>
      <c r="AB40" s="177"/>
      <c r="AC40" s="228" t="s">
        <v>291</v>
      </c>
    </row>
    <row r="41" spans="2:29" ht="3" customHeight="1">
      <c r="B41" s="206"/>
      <c r="C41" s="184"/>
      <c r="D41" s="223"/>
      <c r="E41" s="223"/>
      <c r="F41" s="223"/>
      <c r="G41" s="224"/>
      <c r="H41" s="184"/>
      <c r="I41" s="177"/>
      <c r="J41" s="237"/>
      <c r="K41" s="237"/>
      <c r="L41" s="237"/>
      <c r="M41" s="237"/>
      <c r="N41" s="177"/>
      <c r="O41" s="177"/>
      <c r="P41" s="237"/>
      <c r="Q41" s="177"/>
      <c r="R41" s="177"/>
      <c r="S41" s="184"/>
      <c r="T41" s="177"/>
      <c r="U41" s="225"/>
      <c r="V41" s="184"/>
      <c r="W41" s="216"/>
      <c r="X41" s="225"/>
      <c r="Y41" s="184"/>
      <c r="Z41" s="216"/>
      <c r="AA41" s="225"/>
      <c r="AB41" s="184"/>
      <c r="AC41" s="216"/>
    </row>
    <row r="42" spans="2:29" ht="31.5">
      <c r="B42" s="205" t="s">
        <v>121</v>
      </c>
      <c r="C42" s="177"/>
      <c r="D42" s="226">
        <v>500</v>
      </c>
      <c r="E42" s="226">
        <v>15</v>
      </c>
      <c r="F42" s="226">
        <v>10</v>
      </c>
      <c r="G42" s="227">
        <f>IF(SUM(E42:F42)=0,"",SUM(E42:F42)/D42)</f>
        <v>0.05</v>
      </c>
      <c r="H42" s="177"/>
      <c r="I42" s="213"/>
      <c r="J42" s="237">
        <v>0.8</v>
      </c>
      <c r="K42" s="237"/>
      <c r="L42" s="237"/>
      <c r="M42" s="237"/>
      <c r="N42" s="213"/>
      <c r="O42" s="213"/>
      <c r="P42" s="237">
        <v>0.2</v>
      </c>
      <c r="Q42" s="213"/>
      <c r="R42" s="213"/>
      <c r="S42" s="177"/>
      <c r="T42" s="213" t="s">
        <v>291</v>
      </c>
      <c r="U42" s="240"/>
      <c r="V42" s="177"/>
      <c r="W42" s="213" t="s">
        <v>291</v>
      </c>
      <c r="X42" s="240"/>
      <c r="Y42" s="177"/>
      <c r="Z42" s="228" t="s">
        <v>291</v>
      </c>
      <c r="AA42" s="232"/>
      <c r="AB42" s="177"/>
      <c r="AC42" s="228" t="s">
        <v>291</v>
      </c>
    </row>
    <row r="43" spans="2:29" ht="22.5">
      <c r="B43" s="205" t="s">
        <v>245</v>
      </c>
      <c r="C43" s="177"/>
      <c r="D43" s="226">
        <v>8000</v>
      </c>
      <c r="E43" s="226">
        <v>315</v>
      </c>
      <c r="F43" s="226">
        <v>250</v>
      </c>
      <c r="G43" s="227">
        <f t="shared" si="1"/>
        <v>0.070625</v>
      </c>
      <c r="H43" s="177"/>
      <c r="I43" s="213">
        <v>0.1</v>
      </c>
      <c r="J43" s="237">
        <v>0.85</v>
      </c>
      <c r="K43" s="237"/>
      <c r="L43" s="237"/>
      <c r="M43" s="237"/>
      <c r="N43" s="213" t="s">
        <v>93</v>
      </c>
      <c r="O43" s="213"/>
      <c r="P43" s="237">
        <v>0.05</v>
      </c>
      <c r="Q43" s="213"/>
      <c r="R43" s="213"/>
      <c r="S43" s="177"/>
      <c r="T43" s="237">
        <v>0.01</v>
      </c>
      <c r="U43" s="229" t="s">
        <v>352</v>
      </c>
      <c r="V43" s="177"/>
      <c r="W43" s="213" t="s">
        <v>291</v>
      </c>
      <c r="X43" s="240"/>
      <c r="Y43" s="177"/>
      <c r="Z43" s="235" t="s">
        <v>7</v>
      </c>
      <c r="AA43" s="229"/>
      <c r="AB43" s="177"/>
      <c r="AC43" s="228">
        <v>40</v>
      </c>
    </row>
    <row r="44" spans="2:29" ht="15.75">
      <c r="B44" s="205" t="s">
        <v>159</v>
      </c>
      <c r="C44" s="177"/>
      <c r="D44" s="226">
        <v>7052</v>
      </c>
      <c r="E44" s="226">
        <v>430</v>
      </c>
      <c r="F44" s="226">
        <v>233</v>
      </c>
      <c r="G44" s="227">
        <f t="shared" si="1"/>
        <v>0.0940158820192853</v>
      </c>
      <c r="H44" s="177"/>
      <c r="I44" s="213"/>
      <c r="J44" s="237"/>
      <c r="K44" s="237"/>
      <c r="L44" s="237"/>
      <c r="M44" s="237">
        <v>0.9</v>
      </c>
      <c r="N44" s="213"/>
      <c r="O44" s="213"/>
      <c r="P44" s="237">
        <v>0.1</v>
      </c>
      <c r="Q44" s="213"/>
      <c r="R44" s="213"/>
      <c r="S44" s="177"/>
      <c r="T44" s="237">
        <v>0.05</v>
      </c>
      <c r="U44" s="241" t="s">
        <v>353</v>
      </c>
      <c r="V44" s="177"/>
      <c r="W44" s="213" t="s">
        <v>291</v>
      </c>
      <c r="X44" s="240"/>
      <c r="Y44" s="177"/>
      <c r="Z44" s="235" t="s">
        <v>7</v>
      </c>
      <c r="AA44" s="229" t="s">
        <v>357</v>
      </c>
      <c r="AB44" s="177"/>
      <c r="AC44" s="228" t="s">
        <v>291</v>
      </c>
    </row>
    <row r="45" ht="6" customHeight="1"/>
    <row r="46" spans="2:8" ht="15.75">
      <c r="B46" s="248" t="s">
        <v>377</v>
      </c>
      <c r="C46" s="249"/>
      <c r="D46" s="250">
        <f>SUM(D8:D45)</f>
        <v>29230</v>
      </c>
      <c r="E46" s="250">
        <f>SUM(E8:E45)</f>
        <v>975.3</v>
      </c>
      <c r="F46" s="250">
        <f>SUM(F8:F45)</f>
        <v>1361</v>
      </c>
      <c r="G46" s="251">
        <f t="shared" si="1"/>
        <v>0.07992815600410538</v>
      </c>
      <c r="H46" s="252"/>
    </row>
  </sheetData>
  <printOptions horizontalCentered="1" verticalCentered="1"/>
  <pageMargins left="0.25" right="0.4" top="0.25" bottom="0.25" header="0.25" footer="0.25"/>
  <pageSetup fitToHeight="1" fitToWidth="1" horizontalDpi="600" verticalDpi="600" orientation="landscape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AP62"/>
  <sheetViews>
    <sheetView workbookViewId="0" topLeftCell="A1">
      <selection activeCell="B6" sqref="B6"/>
    </sheetView>
  </sheetViews>
  <sheetFormatPr defaultColWidth="9.140625" defaultRowHeight="12.75"/>
  <cols>
    <col min="1" max="1" width="9.140625" style="188" customWidth="1"/>
    <col min="2" max="2" width="18.28125" style="188" customWidth="1"/>
    <col min="3" max="3" width="7.421875" style="179" customWidth="1"/>
    <col min="4" max="4" width="7.421875" style="199" customWidth="1"/>
    <col min="5" max="5" width="0.9921875" style="188" customWidth="1"/>
    <col min="6" max="6" width="4.57421875" style="188" bestFit="1" customWidth="1"/>
    <col min="7" max="8" width="5.57421875" style="188" bestFit="1" customWidth="1"/>
    <col min="9" max="9" width="3.28125" style="188" bestFit="1" customWidth="1"/>
    <col min="10" max="10" width="0.9921875" style="188" customWidth="1"/>
    <col min="11" max="12" width="4.57421875" style="188" customWidth="1"/>
    <col min="13" max="13" width="0.5625" style="188" customWidth="1"/>
    <col min="14" max="14" width="5.57421875" style="188" bestFit="1" customWidth="1"/>
    <col min="15" max="15" width="4.57421875" style="188" bestFit="1" customWidth="1"/>
    <col min="16" max="16" width="0.5625" style="188" customWidth="1"/>
    <col min="17" max="17" width="6.140625" style="188" customWidth="1"/>
    <col min="18" max="18" width="5.57421875" style="188" bestFit="1" customWidth="1"/>
    <col min="19" max="19" width="0.5625" style="188" customWidth="1"/>
    <col min="20" max="20" width="3.28125" style="188" bestFit="1" customWidth="1"/>
    <col min="21" max="21" width="5.7109375" style="188" bestFit="1" customWidth="1"/>
    <col min="22" max="22" width="5.7109375" style="188" customWidth="1"/>
    <col min="23" max="23" width="0.5625" style="188" customWidth="1"/>
    <col min="24" max="24" width="5.7109375" style="188" customWidth="1"/>
    <col min="25" max="25" width="3.28125" style="188" bestFit="1" customWidth="1"/>
    <col min="26" max="26" width="5.00390625" style="188" customWidth="1"/>
    <col min="27" max="27" width="0.5625" style="188" customWidth="1"/>
    <col min="28" max="29" width="5.57421875" style="188" bestFit="1" customWidth="1"/>
    <col min="30" max="30" width="0.5625" style="188" customWidth="1"/>
    <col min="31" max="31" width="5.57421875" style="188" bestFit="1" customWidth="1"/>
    <col min="32" max="32" width="4.57421875" style="188" bestFit="1" customWidth="1"/>
    <col min="33" max="33" width="0.5625" style="188" customWidth="1"/>
    <col min="34" max="34" width="3.421875" style="188" bestFit="1" customWidth="1"/>
    <col min="35" max="35" width="7.28125" style="188" customWidth="1"/>
    <col min="36" max="36" width="4.7109375" style="188" customWidth="1"/>
    <col min="37" max="37" width="0.5625" style="188" customWidth="1"/>
    <col min="38" max="38" width="3.421875" style="188" customWidth="1"/>
    <col min="39" max="39" width="4.7109375" style="188" customWidth="1"/>
    <col min="40" max="40" width="0.5625" style="188" customWidth="1"/>
    <col min="41" max="42" width="4.7109375" style="188" customWidth="1"/>
    <col min="43" max="16384" width="9.140625" style="188" customWidth="1"/>
  </cols>
  <sheetData>
    <row r="1" spans="2:32" s="178" customFormat="1" ht="55.5" customHeight="1">
      <c r="B1" s="208" t="s">
        <v>307</v>
      </c>
      <c r="C1" s="179"/>
      <c r="D1" s="180"/>
      <c r="F1" s="181"/>
      <c r="G1" s="181"/>
      <c r="H1" s="181"/>
      <c r="I1" s="181"/>
      <c r="K1" s="181"/>
      <c r="L1" s="181"/>
      <c r="Y1" s="181"/>
      <c r="Z1" s="181"/>
      <c r="AB1" s="181"/>
      <c r="AC1" s="181"/>
      <c r="AE1" s="181"/>
      <c r="AF1" s="181"/>
    </row>
    <row r="2" spans="3:32" s="178" customFormat="1" ht="12.75" hidden="1">
      <c r="C2" s="179"/>
      <c r="D2" s="180"/>
      <c r="F2" s="181"/>
      <c r="G2" s="181"/>
      <c r="H2" s="181"/>
      <c r="I2" s="181"/>
      <c r="K2" s="181"/>
      <c r="L2" s="181"/>
      <c r="Y2" s="181"/>
      <c r="Z2" s="181"/>
      <c r="AB2" s="181"/>
      <c r="AC2" s="181"/>
      <c r="AE2" s="181"/>
      <c r="AF2" s="181"/>
    </row>
    <row r="3" spans="3:32" s="178" customFormat="1" ht="12.75" hidden="1">
      <c r="C3" s="179"/>
      <c r="D3" s="180"/>
      <c r="F3" s="181"/>
      <c r="G3" s="181"/>
      <c r="H3" s="181"/>
      <c r="I3" s="181"/>
      <c r="K3" s="181"/>
      <c r="L3" s="181"/>
      <c r="Y3" s="181"/>
      <c r="Z3" s="181"/>
      <c r="AB3" s="181"/>
      <c r="AC3" s="181"/>
      <c r="AE3" s="181"/>
      <c r="AF3" s="181"/>
    </row>
    <row r="4" spans="3:32" s="178" customFormat="1" ht="12.75" hidden="1">
      <c r="C4" s="179"/>
      <c r="D4" s="180"/>
      <c r="F4" s="181"/>
      <c r="G4" s="181"/>
      <c r="H4" s="181"/>
      <c r="I4" s="181"/>
      <c r="K4" s="181"/>
      <c r="L4" s="181"/>
      <c r="Y4" s="181"/>
      <c r="Z4" s="181"/>
      <c r="AB4" s="181"/>
      <c r="AC4" s="181"/>
      <c r="AE4" s="181"/>
      <c r="AF4" s="181"/>
    </row>
    <row r="5" spans="2:42" s="202" customFormat="1" ht="20.25" customHeight="1">
      <c r="B5" s="217">
        <v>1</v>
      </c>
      <c r="C5" s="218">
        <f>+B5+1</f>
        <v>2</v>
      </c>
      <c r="D5" s="218">
        <f>+C5+1</f>
        <v>3</v>
      </c>
      <c r="E5" s="203"/>
      <c r="F5" s="218">
        <f>+D5+1</f>
        <v>4</v>
      </c>
      <c r="G5" s="218">
        <f>+F5+1</f>
        <v>5</v>
      </c>
      <c r="H5" s="218">
        <f>+G5+1</f>
        <v>6</v>
      </c>
      <c r="I5" s="218">
        <f>+H5+1</f>
        <v>7</v>
      </c>
      <c r="J5" s="203"/>
      <c r="K5" s="218">
        <f>+I5+1</f>
        <v>8</v>
      </c>
      <c r="L5" s="218">
        <f>+K5+1</f>
        <v>9</v>
      </c>
      <c r="M5" s="203"/>
      <c r="N5" s="218">
        <f>+L5+1</f>
        <v>10</v>
      </c>
      <c r="O5" s="218">
        <f>+N5+1</f>
        <v>11</v>
      </c>
      <c r="P5" s="203"/>
      <c r="Q5" s="218">
        <f>+O5+1</f>
        <v>12</v>
      </c>
      <c r="R5" s="218">
        <f>+Q5+1</f>
        <v>13</v>
      </c>
      <c r="S5" s="203"/>
      <c r="T5" s="218">
        <f>+R5+1</f>
        <v>14</v>
      </c>
      <c r="U5" s="218">
        <f>+T5+1</f>
        <v>15</v>
      </c>
      <c r="V5" s="218">
        <f>+U5+1</f>
        <v>16</v>
      </c>
      <c r="W5" s="203"/>
      <c r="X5" s="218">
        <f>+V5+1</f>
        <v>17</v>
      </c>
      <c r="Y5" s="218">
        <f>+X5+1</f>
        <v>18</v>
      </c>
      <c r="Z5" s="218">
        <f>+Y5+1</f>
        <v>19</v>
      </c>
      <c r="AA5" s="203"/>
      <c r="AB5" s="218">
        <f>+Z5+1</f>
        <v>20</v>
      </c>
      <c r="AC5" s="218">
        <f>+AB5+1</f>
        <v>21</v>
      </c>
      <c r="AD5" s="203"/>
      <c r="AE5" s="218">
        <f>+AC5+1</f>
        <v>22</v>
      </c>
      <c r="AF5" s="218">
        <f>+AE5+1</f>
        <v>23</v>
      </c>
      <c r="AG5" s="203"/>
      <c r="AH5" s="218">
        <f>+AF5+1</f>
        <v>24</v>
      </c>
      <c r="AI5" s="218">
        <f>+AH5+1</f>
        <v>25</v>
      </c>
      <c r="AJ5" s="218">
        <f>+AI5+1</f>
        <v>26</v>
      </c>
      <c r="AK5" s="203"/>
      <c r="AL5" s="218">
        <f>+AJ5+1</f>
        <v>27</v>
      </c>
      <c r="AM5" s="218">
        <f>+AL5+1</f>
        <v>28</v>
      </c>
      <c r="AN5" s="203"/>
      <c r="AO5" s="218">
        <f>+AM5+1</f>
        <v>29</v>
      </c>
      <c r="AP5" s="218">
        <f>+AO5+1</f>
        <v>30</v>
      </c>
    </row>
    <row r="6" spans="2:42" ht="141" customHeight="1">
      <c r="B6" s="178" t="s">
        <v>1</v>
      </c>
      <c r="C6" s="182" t="s">
        <v>289</v>
      </c>
      <c r="D6" s="183" t="s">
        <v>290</v>
      </c>
      <c r="E6" s="184"/>
      <c r="F6" s="187" t="s">
        <v>281</v>
      </c>
      <c r="G6" s="186" t="s">
        <v>304</v>
      </c>
      <c r="H6" s="187" t="s">
        <v>106</v>
      </c>
      <c r="I6" s="186" t="s">
        <v>309</v>
      </c>
      <c r="J6" s="184"/>
      <c r="K6" s="186" t="s">
        <v>153</v>
      </c>
      <c r="L6" s="186" t="s">
        <v>293</v>
      </c>
      <c r="M6" s="184"/>
      <c r="N6" s="185" t="s">
        <v>241</v>
      </c>
      <c r="O6" s="186" t="s">
        <v>308</v>
      </c>
      <c r="P6" s="184"/>
      <c r="Q6" s="185" t="s">
        <v>280</v>
      </c>
      <c r="R6" s="185" t="s">
        <v>279</v>
      </c>
      <c r="S6" s="184"/>
      <c r="T6" s="187" t="s">
        <v>284</v>
      </c>
      <c r="U6" s="186" t="s">
        <v>285</v>
      </c>
      <c r="V6" s="187" t="s">
        <v>292</v>
      </c>
      <c r="W6" s="184"/>
      <c r="X6" s="187" t="s">
        <v>298</v>
      </c>
      <c r="Y6" s="187" t="s">
        <v>368</v>
      </c>
      <c r="Z6" s="187" t="s">
        <v>301</v>
      </c>
      <c r="AA6" s="184"/>
      <c r="AB6" s="187" t="s">
        <v>283</v>
      </c>
      <c r="AC6" s="187" t="s">
        <v>282</v>
      </c>
      <c r="AD6" s="184"/>
      <c r="AE6" s="187" t="s">
        <v>294</v>
      </c>
      <c r="AF6" s="187" t="s">
        <v>310</v>
      </c>
      <c r="AG6" s="184"/>
      <c r="AH6" s="186" t="s">
        <v>276</v>
      </c>
      <c r="AI6" s="186" t="s">
        <v>299</v>
      </c>
      <c r="AJ6" s="186" t="s">
        <v>138</v>
      </c>
      <c r="AK6" s="184"/>
      <c r="AL6" s="186" t="s">
        <v>205</v>
      </c>
      <c r="AM6" s="187" t="s">
        <v>286</v>
      </c>
      <c r="AN6" s="184"/>
      <c r="AO6" s="187" t="s">
        <v>306</v>
      </c>
      <c r="AP6" s="187" t="s">
        <v>297</v>
      </c>
    </row>
    <row r="7" spans="2:42" ht="3" customHeight="1">
      <c r="B7" s="184"/>
      <c r="C7" s="189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</row>
    <row r="8" spans="2:42" ht="15.75">
      <c r="B8" s="205" t="s">
        <v>5</v>
      </c>
      <c r="C8" s="190">
        <v>7</v>
      </c>
      <c r="D8" s="175">
        <v>1</v>
      </c>
      <c r="E8" s="177"/>
      <c r="F8" s="176"/>
      <c r="G8" s="176"/>
      <c r="H8" s="176" t="s">
        <v>93</v>
      </c>
      <c r="I8" s="176" t="s">
        <v>93</v>
      </c>
      <c r="J8" s="177"/>
      <c r="K8" s="176"/>
      <c r="L8" s="176"/>
      <c r="M8" s="177"/>
      <c r="N8" s="176">
        <v>1</v>
      </c>
      <c r="O8" s="175" t="s">
        <v>277</v>
      </c>
      <c r="P8" s="177"/>
      <c r="Q8" s="176"/>
      <c r="R8" s="176"/>
      <c r="S8" s="177"/>
      <c r="T8" s="176"/>
      <c r="U8" s="175" t="s">
        <v>277</v>
      </c>
      <c r="V8" s="176"/>
      <c r="W8" s="177"/>
      <c r="X8" s="176"/>
      <c r="Y8" s="176"/>
      <c r="Z8" s="176"/>
      <c r="AA8" s="177"/>
      <c r="AB8" s="176"/>
      <c r="AC8" s="176"/>
      <c r="AD8" s="177"/>
      <c r="AE8" s="176"/>
      <c r="AF8" s="176"/>
      <c r="AG8" s="177"/>
      <c r="AH8" s="176"/>
      <c r="AI8" s="176"/>
      <c r="AJ8" s="176"/>
      <c r="AK8" s="177"/>
      <c r="AL8" s="176"/>
      <c r="AM8" s="176"/>
      <c r="AN8" s="177"/>
      <c r="AO8" s="176"/>
      <c r="AP8" s="176"/>
    </row>
    <row r="9" spans="2:42" ht="22.5">
      <c r="B9" s="205" t="s">
        <v>29</v>
      </c>
      <c r="C9" s="190">
        <v>15</v>
      </c>
      <c r="D9" s="175">
        <v>1</v>
      </c>
      <c r="E9" s="177"/>
      <c r="F9" s="176"/>
      <c r="G9" s="176"/>
      <c r="H9" s="176"/>
      <c r="I9" s="176"/>
      <c r="J9" s="177"/>
      <c r="K9" s="176"/>
      <c r="L9" s="176"/>
      <c r="M9" s="177"/>
      <c r="N9" s="176">
        <v>1</v>
      </c>
      <c r="O9" s="175" t="s">
        <v>277</v>
      </c>
      <c r="P9" s="177"/>
      <c r="Q9" s="191" t="s">
        <v>278</v>
      </c>
      <c r="S9" s="177"/>
      <c r="T9" s="176" t="s">
        <v>93</v>
      </c>
      <c r="U9" s="176"/>
      <c r="V9" s="176"/>
      <c r="W9" s="177"/>
      <c r="X9" s="176"/>
      <c r="Y9" s="176"/>
      <c r="Z9" s="176"/>
      <c r="AA9" s="177"/>
      <c r="AB9" s="176"/>
      <c r="AC9" s="176"/>
      <c r="AD9" s="177"/>
      <c r="AE9" s="176"/>
      <c r="AF9" s="176"/>
      <c r="AG9" s="177"/>
      <c r="AH9" s="176"/>
      <c r="AI9" s="176"/>
      <c r="AJ9" s="176"/>
      <c r="AK9" s="177"/>
      <c r="AL9" s="176"/>
      <c r="AM9" s="176"/>
      <c r="AN9" s="177"/>
      <c r="AO9" s="176"/>
      <c r="AP9" s="176"/>
    </row>
    <row r="10" spans="2:42" ht="3" customHeight="1">
      <c r="B10" s="206"/>
      <c r="C10" s="189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</row>
    <row r="11" spans="2:42" ht="15.75">
      <c r="B11" s="205" t="s">
        <v>144</v>
      </c>
      <c r="C11" s="190">
        <v>50</v>
      </c>
      <c r="D11" s="175">
        <v>1</v>
      </c>
      <c r="E11" s="177"/>
      <c r="F11" s="176"/>
      <c r="G11" s="176"/>
      <c r="H11" s="176"/>
      <c r="I11" s="176"/>
      <c r="J11" s="177"/>
      <c r="K11" s="175" t="s">
        <v>277</v>
      </c>
      <c r="L11" s="176"/>
      <c r="M11" s="177"/>
      <c r="N11" s="176"/>
      <c r="O11" s="176"/>
      <c r="P11" s="177"/>
      <c r="Q11" s="176"/>
      <c r="R11" s="176">
        <v>1</v>
      </c>
      <c r="S11" s="177"/>
      <c r="T11" s="176"/>
      <c r="U11" s="176"/>
      <c r="V11" s="176"/>
      <c r="W11" s="177"/>
      <c r="X11" s="176"/>
      <c r="Y11" s="176"/>
      <c r="Z11" s="176"/>
      <c r="AA11" s="177"/>
      <c r="AB11" s="176"/>
      <c r="AC11" s="176"/>
      <c r="AD11" s="177"/>
      <c r="AE11" s="176"/>
      <c r="AF11" s="176"/>
      <c r="AG11" s="177"/>
      <c r="AH11" s="176"/>
      <c r="AI11" s="176"/>
      <c r="AJ11" s="176"/>
      <c r="AK11" s="177"/>
      <c r="AL11" s="176"/>
      <c r="AM11" s="176"/>
      <c r="AN11" s="177"/>
      <c r="AO11" s="176"/>
      <c r="AP11" s="176"/>
    </row>
    <row r="12" spans="2:42" ht="15.75">
      <c r="B12" s="205" t="s">
        <v>178</v>
      </c>
      <c r="C12" s="190">
        <v>20</v>
      </c>
      <c r="D12" s="175">
        <v>0.5</v>
      </c>
      <c r="E12" s="177"/>
      <c r="F12" s="176"/>
      <c r="G12" s="176"/>
      <c r="H12" s="176">
        <v>1</v>
      </c>
      <c r="I12" s="176"/>
      <c r="J12" s="177"/>
      <c r="K12" s="176"/>
      <c r="L12" s="175" t="s">
        <v>277</v>
      </c>
      <c r="M12" s="177"/>
      <c r="N12" s="176" t="s">
        <v>93</v>
      </c>
      <c r="O12" s="176"/>
      <c r="P12" s="177"/>
      <c r="Q12" s="176"/>
      <c r="R12" s="176"/>
      <c r="S12" s="177"/>
      <c r="T12" s="176"/>
      <c r="U12" s="176"/>
      <c r="V12" s="176"/>
      <c r="W12" s="177"/>
      <c r="X12" s="176"/>
      <c r="Y12" s="176"/>
      <c r="Z12" s="176"/>
      <c r="AA12" s="177"/>
      <c r="AB12" s="176"/>
      <c r="AC12" s="176" t="s">
        <v>93</v>
      </c>
      <c r="AD12" s="177"/>
      <c r="AE12" s="176"/>
      <c r="AF12" s="176"/>
      <c r="AG12" s="177"/>
      <c r="AH12" s="176"/>
      <c r="AI12" s="176"/>
      <c r="AJ12" s="176"/>
      <c r="AK12" s="177"/>
      <c r="AL12" s="176"/>
      <c r="AM12" s="191" t="s">
        <v>287</v>
      </c>
      <c r="AN12" s="177"/>
      <c r="AO12" s="176"/>
      <c r="AP12" s="176"/>
    </row>
    <row r="13" spans="2:42" ht="15.75">
      <c r="B13" s="205" t="s">
        <v>165</v>
      </c>
      <c r="C13" s="190">
        <v>80</v>
      </c>
      <c r="D13" s="192" t="s">
        <v>291</v>
      </c>
      <c r="E13" s="177"/>
      <c r="F13" s="176">
        <v>0.6</v>
      </c>
      <c r="G13" s="176"/>
      <c r="H13" s="176"/>
      <c r="I13" s="176"/>
      <c r="J13" s="177"/>
      <c r="K13" s="176"/>
      <c r="L13" s="176"/>
      <c r="M13" s="177"/>
      <c r="N13" s="176"/>
      <c r="O13" s="176"/>
      <c r="P13" s="177"/>
      <c r="Q13" s="176"/>
      <c r="R13" s="176"/>
      <c r="S13" s="177"/>
      <c r="T13" s="176"/>
      <c r="U13" s="176"/>
      <c r="V13" s="176"/>
      <c r="W13" s="177"/>
      <c r="X13" s="176"/>
      <c r="Y13" s="176"/>
      <c r="Z13" s="176"/>
      <c r="AA13" s="177"/>
      <c r="AB13" s="176"/>
      <c r="AC13" s="176"/>
      <c r="AD13" s="177"/>
      <c r="AE13" s="176"/>
      <c r="AF13" s="176">
        <v>0.4</v>
      </c>
      <c r="AG13" s="177"/>
      <c r="AH13" s="176"/>
      <c r="AI13" s="176"/>
      <c r="AJ13" s="176"/>
      <c r="AK13" s="177"/>
      <c r="AL13" s="176"/>
      <c r="AM13" s="176"/>
      <c r="AN13" s="177"/>
      <c r="AO13" s="176"/>
      <c r="AP13" s="176"/>
    </row>
    <row r="14" spans="2:42" ht="3" customHeight="1">
      <c r="B14" s="206"/>
      <c r="C14" s="189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</row>
    <row r="15" spans="2:42" ht="15.75">
      <c r="B15" s="205" t="s">
        <v>224</v>
      </c>
      <c r="C15" s="190">
        <v>75</v>
      </c>
      <c r="D15" s="192" t="s">
        <v>291</v>
      </c>
      <c r="E15" s="177"/>
      <c r="F15" s="176"/>
      <c r="G15" s="176"/>
      <c r="H15" s="176"/>
      <c r="I15" s="176"/>
      <c r="J15" s="177"/>
      <c r="K15" s="176"/>
      <c r="L15" s="176"/>
      <c r="M15" s="177"/>
      <c r="N15" s="176"/>
      <c r="O15" s="176"/>
      <c r="P15" s="177"/>
      <c r="Q15" s="176"/>
      <c r="R15" s="176"/>
      <c r="S15" s="177"/>
      <c r="T15" s="176"/>
      <c r="U15" s="176"/>
      <c r="V15" s="176"/>
      <c r="W15" s="177"/>
      <c r="X15" s="176"/>
      <c r="Y15" s="176"/>
      <c r="Z15" s="176"/>
      <c r="AA15" s="177"/>
      <c r="AB15" s="176"/>
      <c r="AC15" s="176"/>
      <c r="AD15" s="177"/>
      <c r="AE15" s="176">
        <v>1</v>
      </c>
      <c r="AF15" s="176" t="s">
        <v>93</v>
      </c>
      <c r="AG15" s="177"/>
      <c r="AH15" s="176"/>
      <c r="AI15" s="176"/>
      <c r="AJ15" s="176"/>
      <c r="AK15" s="177"/>
      <c r="AL15" s="176"/>
      <c r="AM15" s="176"/>
      <c r="AN15" s="177"/>
      <c r="AO15" s="176"/>
      <c r="AP15" s="176"/>
    </row>
    <row r="16" spans="2:42" ht="15.75">
      <c r="B16" s="205" t="s">
        <v>198</v>
      </c>
      <c r="C16" s="190">
        <v>85</v>
      </c>
      <c r="D16" s="192" t="s">
        <v>291</v>
      </c>
      <c r="E16" s="177"/>
      <c r="F16" s="176"/>
      <c r="G16" s="176"/>
      <c r="H16" s="176">
        <v>1</v>
      </c>
      <c r="I16" s="176"/>
      <c r="J16" s="177"/>
      <c r="K16" s="176"/>
      <c r="L16" s="176"/>
      <c r="M16" s="177"/>
      <c r="N16" s="176"/>
      <c r="O16" s="176"/>
      <c r="P16" s="177"/>
      <c r="Q16" s="176"/>
      <c r="R16" s="176"/>
      <c r="S16" s="177"/>
      <c r="T16" s="176"/>
      <c r="U16" s="176"/>
      <c r="V16" s="176"/>
      <c r="W16" s="177"/>
      <c r="X16" s="176"/>
      <c r="Y16" s="176"/>
      <c r="Z16" s="176"/>
      <c r="AA16" s="177"/>
      <c r="AB16" s="176"/>
      <c r="AC16" s="176"/>
      <c r="AD16" s="177"/>
      <c r="AE16" s="176"/>
      <c r="AF16" s="176"/>
      <c r="AG16" s="177"/>
      <c r="AH16" s="176"/>
      <c r="AI16" s="176"/>
      <c r="AJ16" s="176"/>
      <c r="AK16" s="177"/>
      <c r="AL16" s="176"/>
      <c r="AM16" s="176"/>
      <c r="AN16" s="177"/>
      <c r="AO16" s="176"/>
      <c r="AP16" s="176"/>
    </row>
    <row r="17" spans="2:42" ht="15.75">
      <c r="B17" s="205" t="s">
        <v>8</v>
      </c>
      <c r="C17" s="190">
        <v>15</v>
      </c>
      <c r="D17" s="175">
        <v>1</v>
      </c>
      <c r="E17" s="177"/>
      <c r="F17" s="176"/>
      <c r="G17" s="176"/>
      <c r="H17" s="176">
        <v>0.1</v>
      </c>
      <c r="I17" s="176"/>
      <c r="J17" s="177"/>
      <c r="K17" s="176"/>
      <c r="L17" s="176"/>
      <c r="M17" s="177"/>
      <c r="N17" s="176">
        <v>0.8</v>
      </c>
      <c r="O17" s="176"/>
      <c r="P17" s="177"/>
      <c r="Q17" s="176"/>
      <c r="R17" s="176">
        <v>0.1</v>
      </c>
      <c r="S17" s="177"/>
      <c r="T17" s="176"/>
      <c r="U17" s="176"/>
      <c r="V17" s="176"/>
      <c r="W17" s="177"/>
      <c r="X17" s="176"/>
      <c r="Y17" s="176"/>
      <c r="Z17" s="176"/>
      <c r="AA17" s="177"/>
      <c r="AB17" s="176"/>
      <c r="AC17" s="176"/>
      <c r="AD17" s="177"/>
      <c r="AE17" s="176"/>
      <c r="AF17" s="176"/>
      <c r="AG17" s="177"/>
      <c r="AH17" s="175" t="s">
        <v>277</v>
      </c>
      <c r="AI17" s="176"/>
      <c r="AJ17" s="176"/>
      <c r="AK17" s="177"/>
      <c r="AL17" s="176"/>
      <c r="AM17" s="176"/>
      <c r="AN17" s="177"/>
      <c r="AO17" s="176"/>
      <c r="AP17" s="176"/>
    </row>
    <row r="18" spans="2:42" ht="3" customHeight="1">
      <c r="B18" s="206"/>
      <c r="C18" s="189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</row>
    <row r="19" spans="2:42" ht="15.75">
      <c r="B19" s="205" t="s">
        <v>2</v>
      </c>
      <c r="C19" s="190">
        <v>62</v>
      </c>
      <c r="D19" s="175">
        <v>1</v>
      </c>
      <c r="E19" s="177"/>
      <c r="F19" s="176"/>
      <c r="G19" s="176"/>
      <c r="H19" s="176">
        <v>1</v>
      </c>
      <c r="I19" s="176"/>
      <c r="J19" s="177"/>
      <c r="K19" s="176"/>
      <c r="L19" s="176"/>
      <c r="M19" s="177"/>
      <c r="N19" s="176"/>
      <c r="O19" s="176"/>
      <c r="P19" s="177"/>
      <c r="Q19" s="176"/>
      <c r="R19" s="176"/>
      <c r="S19" s="177"/>
      <c r="T19" s="176"/>
      <c r="U19" s="176"/>
      <c r="V19" s="176"/>
      <c r="W19" s="177"/>
      <c r="X19" s="176"/>
      <c r="Y19" s="176"/>
      <c r="Z19" s="176"/>
      <c r="AA19" s="177"/>
      <c r="AB19" s="176"/>
      <c r="AC19" s="176"/>
      <c r="AD19" s="177"/>
      <c r="AE19" s="176"/>
      <c r="AF19" s="176"/>
      <c r="AG19" s="177"/>
      <c r="AH19" s="176"/>
      <c r="AI19" s="176"/>
      <c r="AJ19" s="176"/>
      <c r="AK19" s="177"/>
      <c r="AL19" s="175" t="s">
        <v>277</v>
      </c>
      <c r="AM19" s="176"/>
      <c r="AN19" s="177"/>
      <c r="AO19" s="176"/>
      <c r="AP19" s="176"/>
    </row>
    <row r="20" spans="2:42" ht="15.75">
      <c r="B20" s="205" t="s">
        <v>232</v>
      </c>
      <c r="C20" s="190">
        <v>10</v>
      </c>
      <c r="D20" s="192" t="s">
        <v>291</v>
      </c>
      <c r="E20" s="177"/>
      <c r="F20" s="176"/>
      <c r="G20" s="176"/>
      <c r="H20" s="176"/>
      <c r="I20" s="176"/>
      <c r="J20" s="177"/>
      <c r="K20" s="176"/>
      <c r="L20" s="176"/>
      <c r="M20" s="177"/>
      <c r="N20" s="176"/>
      <c r="O20" s="176"/>
      <c r="P20" s="177"/>
      <c r="Q20" s="176"/>
      <c r="R20" s="176"/>
      <c r="S20" s="177"/>
      <c r="T20" s="176"/>
      <c r="U20" s="176"/>
      <c r="V20" s="176">
        <v>1</v>
      </c>
      <c r="W20" s="177"/>
      <c r="X20" s="176"/>
      <c r="Y20" s="176"/>
      <c r="Z20" s="176"/>
      <c r="AA20" s="177"/>
      <c r="AB20" s="176"/>
      <c r="AC20" s="176"/>
      <c r="AD20" s="177"/>
      <c r="AE20" s="176"/>
      <c r="AF20" s="176"/>
      <c r="AG20" s="177"/>
      <c r="AH20" s="176"/>
      <c r="AI20" s="176"/>
      <c r="AJ20" s="176"/>
      <c r="AK20" s="177"/>
      <c r="AL20" s="176"/>
      <c r="AM20" s="176"/>
      <c r="AN20" s="177"/>
      <c r="AO20" s="176"/>
      <c r="AP20" s="176"/>
    </row>
    <row r="21" spans="2:42" ht="15.75">
      <c r="B21" s="205" t="s">
        <v>102</v>
      </c>
      <c r="C21" s="190">
        <v>40</v>
      </c>
      <c r="D21" s="175">
        <v>1</v>
      </c>
      <c r="E21" s="177"/>
      <c r="F21" s="176"/>
      <c r="G21" s="176"/>
      <c r="H21" s="176">
        <v>1</v>
      </c>
      <c r="I21" s="176"/>
      <c r="J21" s="177"/>
      <c r="K21" s="176"/>
      <c r="L21" s="175" t="s">
        <v>277</v>
      </c>
      <c r="M21" s="177"/>
      <c r="N21" s="176"/>
      <c r="O21" s="176"/>
      <c r="P21" s="177"/>
      <c r="Q21" s="176"/>
      <c r="R21" s="176"/>
      <c r="S21" s="177"/>
      <c r="T21" s="176"/>
      <c r="U21" s="176"/>
      <c r="V21" s="176"/>
      <c r="W21" s="177"/>
      <c r="X21" s="176"/>
      <c r="Y21" s="176"/>
      <c r="Z21" s="176"/>
      <c r="AA21" s="177"/>
      <c r="AB21" s="176"/>
      <c r="AC21" s="176"/>
      <c r="AD21" s="177"/>
      <c r="AE21" s="176"/>
      <c r="AF21" s="176"/>
      <c r="AG21" s="177"/>
      <c r="AH21" s="176"/>
      <c r="AI21" s="176"/>
      <c r="AJ21" s="176"/>
      <c r="AK21" s="177"/>
      <c r="AL21" s="176"/>
      <c r="AM21" s="176"/>
      <c r="AN21" s="177"/>
      <c r="AO21" s="176"/>
      <c r="AP21" s="176"/>
    </row>
    <row r="22" spans="2:42" ht="3" customHeight="1">
      <c r="B22" s="206"/>
      <c r="C22" s="189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</row>
    <row r="23" spans="2:42" ht="15.75">
      <c r="B23" s="207" t="s">
        <v>12</v>
      </c>
      <c r="C23" s="171">
        <v>83</v>
      </c>
      <c r="D23" s="175">
        <v>0.1</v>
      </c>
      <c r="E23" s="177"/>
      <c r="F23" s="176"/>
      <c r="G23" s="176"/>
      <c r="H23" s="176"/>
      <c r="I23" s="176"/>
      <c r="J23" s="177"/>
      <c r="K23" s="176"/>
      <c r="L23" s="175" t="s">
        <v>277</v>
      </c>
      <c r="M23" s="177"/>
      <c r="N23" s="176"/>
      <c r="O23" s="176"/>
      <c r="P23" s="177"/>
      <c r="Q23" s="176"/>
      <c r="R23" s="176"/>
      <c r="S23" s="177"/>
      <c r="T23" s="176"/>
      <c r="U23" s="176"/>
      <c r="V23" s="176"/>
      <c r="W23" s="177"/>
      <c r="X23" s="176"/>
      <c r="Y23" s="176"/>
      <c r="Z23" s="176"/>
      <c r="AA23" s="177"/>
      <c r="AB23" s="176">
        <v>1</v>
      </c>
      <c r="AC23" s="176"/>
      <c r="AD23" s="177"/>
      <c r="AE23" s="176"/>
      <c r="AF23" s="176"/>
      <c r="AG23" s="177"/>
      <c r="AH23" s="176"/>
      <c r="AI23" s="176"/>
      <c r="AJ23" s="176"/>
      <c r="AK23" s="177"/>
      <c r="AL23" s="176"/>
      <c r="AM23" s="176"/>
      <c r="AN23" s="177"/>
      <c r="AO23" s="176"/>
      <c r="AP23" s="176"/>
    </row>
    <row r="24" spans="2:42" ht="33.75">
      <c r="B24" s="205" t="s">
        <v>123</v>
      </c>
      <c r="C24" s="190">
        <v>80</v>
      </c>
      <c r="D24" s="195" t="s">
        <v>296</v>
      </c>
      <c r="E24" s="177"/>
      <c r="F24" s="176"/>
      <c r="G24" s="193"/>
      <c r="H24" s="209" t="s">
        <v>295</v>
      </c>
      <c r="I24" s="176"/>
      <c r="J24" s="177"/>
      <c r="K24" s="176"/>
      <c r="L24" s="176"/>
      <c r="M24" s="177"/>
      <c r="N24" s="176"/>
      <c r="O24" s="176"/>
      <c r="P24" s="177"/>
      <c r="Q24" s="176"/>
      <c r="R24" s="176"/>
      <c r="S24" s="177"/>
      <c r="T24" s="176"/>
      <c r="U24" s="176"/>
      <c r="V24" s="176"/>
      <c r="W24" s="177"/>
      <c r="X24" s="176"/>
      <c r="Y24" s="176"/>
      <c r="Z24" s="176"/>
      <c r="AA24" s="177"/>
      <c r="AB24" s="176"/>
      <c r="AC24" s="176"/>
      <c r="AD24" s="177"/>
      <c r="AE24" s="176">
        <v>0.8</v>
      </c>
      <c r="AF24" s="176"/>
      <c r="AG24" s="177"/>
      <c r="AH24" s="176"/>
      <c r="AI24" s="176"/>
      <c r="AJ24" s="176"/>
      <c r="AK24" s="177"/>
      <c r="AL24" s="176"/>
      <c r="AM24" s="176"/>
      <c r="AN24" s="177"/>
      <c r="AO24" s="176"/>
      <c r="AP24" s="176"/>
    </row>
    <row r="25" spans="2:42" ht="15.75">
      <c r="B25" s="205" t="s">
        <v>13</v>
      </c>
      <c r="C25" s="190">
        <v>50</v>
      </c>
      <c r="D25" s="192" t="s">
        <v>291</v>
      </c>
      <c r="E25" s="177"/>
      <c r="F25" s="176"/>
      <c r="G25" s="176"/>
      <c r="H25" s="176"/>
      <c r="I25" s="176"/>
      <c r="J25" s="177"/>
      <c r="K25" s="176"/>
      <c r="L25" s="176"/>
      <c r="M25" s="177"/>
      <c r="N25" s="176"/>
      <c r="O25" s="176"/>
      <c r="P25" s="177"/>
      <c r="Q25" s="176"/>
      <c r="R25" s="176"/>
      <c r="S25" s="177"/>
      <c r="T25" s="176"/>
      <c r="U25" s="176"/>
      <c r="V25" s="176"/>
      <c r="W25" s="177"/>
      <c r="X25" s="176"/>
      <c r="Y25" s="176"/>
      <c r="Z25" s="176"/>
      <c r="AA25" s="177"/>
      <c r="AB25" s="176">
        <v>1</v>
      </c>
      <c r="AC25" s="176"/>
      <c r="AD25" s="177"/>
      <c r="AE25" s="176"/>
      <c r="AF25" s="176"/>
      <c r="AG25" s="177"/>
      <c r="AH25" s="176"/>
      <c r="AI25" s="176"/>
      <c r="AJ25" s="176"/>
      <c r="AK25" s="177"/>
      <c r="AL25" s="176"/>
      <c r="AM25" s="176"/>
      <c r="AN25" s="177"/>
      <c r="AO25" s="176"/>
      <c r="AP25" s="176" t="s">
        <v>93</v>
      </c>
    </row>
    <row r="26" spans="2:42" ht="3" customHeight="1">
      <c r="B26" s="206"/>
      <c r="C26" s="189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</row>
    <row r="27" spans="2:42" ht="15.75">
      <c r="B27" s="205" t="s">
        <v>17</v>
      </c>
      <c r="C27" s="190">
        <v>32</v>
      </c>
      <c r="D27" s="175">
        <v>1</v>
      </c>
      <c r="E27" s="177"/>
      <c r="F27" s="176"/>
      <c r="G27" s="176"/>
      <c r="H27" s="176"/>
      <c r="I27" s="176"/>
      <c r="J27" s="177"/>
      <c r="K27" s="176"/>
      <c r="L27" s="176"/>
      <c r="M27" s="177"/>
      <c r="N27" s="176">
        <v>1</v>
      </c>
      <c r="O27" s="175" t="s">
        <v>277</v>
      </c>
      <c r="P27" s="177"/>
      <c r="Q27" s="176"/>
      <c r="R27" s="176"/>
      <c r="S27" s="177"/>
      <c r="T27" s="176"/>
      <c r="U27" s="176"/>
      <c r="V27" s="176"/>
      <c r="W27" s="177"/>
      <c r="X27" s="176"/>
      <c r="Y27" s="176"/>
      <c r="Z27" s="176"/>
      <c r="AA27" s="177"/>
      <c r="AB27" s="176"/>
      <c r="AC27" s="176"/>
      <c r="AD27" s="177"/>
      <c r="AE27" s="176"/>
      <c r="AF27" s="176"/>
      <c r="AG27" s="177"/>
      <c r="AH27" s="176"/>
      <c r="AI27" s="176"/>
      <c r="AJ27" s="176"/>
      <c r="AK27" s="177"/>
      <c r="AL27" s="176"/>
      <c r="AM27" s="176"/>
      <c r="AN27" s="177"/>
      <c r="AO27" s="176"/>
      <c r="AP27" s="176"/>
    </row>
    <row r="28" spans="2:42" ht="15.75">
      <c r="B28" s="205" t="s">
        <v>38</v>
      </c>
      <c r="C28" s="190">
        <v>25</v>
      </c>
      <c r="D28" s="175">
        <v>1</v>
      </c>
      <c r="E28" s="177"/>
      <c r="F28" s="176"/>
      <c r="G28" s="176"/>
      <c r="H28" s="176">
        <v>1</v>
      </c>
      <c r="I28" s="176"/>
      <c r="J28" s="177"/>
      <c r="K28" s="176"/>
      <c r="L28" s="175" t="s">
        <v>277</v>
      </c>
      <c r="M28" s="177"/>
      <c r="N28" s="176"/>
      <c r="O28" s="176"/>
      <c r="P28" s="177"/>
      <c r="Q28" s="176"/>
      <c r="R28" s="176"/>
      <c r="S28" s="177"/>
      <c r="T28" s="176"/>
      <c r="U28" s="176"/>
      <c r="V28" s="176"/>
      <c r="W28" s="177"/>
      <c r="X28" s="176"/>
      <c r="Y28" s="176"/>
      <c r="Z28" s="176"/>
      <c r="AA28" s="177"/>
      <c r="AB28" s="176"/>
      <c r="AC28" s="176"/>
      <c r="AD28" s="177"/>
      <c r="AE28" s="176"/>
      <c r="AF28" s="176"/>
      <c r="AG28" s="177"/>
      <c r="AH28" s="176"/>
      <c r="AI28" s="176"/>
      <c r="AJ28" s="176"/>
      <c r="AK28" s="177"/>
      <c r="AL28" s="176"/>
      <c r="AM28" s="176"/>
      <c r="AN28" s="177"/>
      <c r="AO28" s="176"/>
      <c r="AP28" s="176"/>
    </row>
    <row r="29" spans="2:42" ht="15.75">
      <c r="B29" s="205" t="s">
        <v>194</v>
      </c>
      <c r="C29" s="190">
        <v>30</v>
      </c>
      <c r="D29" s="194" t="s">
        <v>37</v>
      </c>
      <c r="E29" s="177"/>
      <c r="F29" s="176"/>
      <c r="G29" s="176"/>
      <c r="H29" s="176"/>
      <c r="I29" s="176"/>
      <c r="J29" s="177"/>
      <c r="K29" s="176"/>
      <c r="L29" s="176"/>
      <c r="M29" s="177"/>
      <c r="N29" s="176"/>
      <c r="O29" s="176"/>
      <c r="P29" s="177"/>
      <c r="Q29" s="176"/>
      <c r="R29" s="176"/>
      <c r="S29" s="177"/>
      <c r="T29" s="176"/>
      <c r="U29" s="176"/>
      <c r="V29" s="176"/>
      <c r="W29" s="177"/>
      <c r="X29" s="176"/>
      <c r="Y29" s="176"/>
      <c r="Z29" s="176"/>
      <c r="AA29" s="177"/>
      <c r="AB29" s="176"/>
      <c r="AC29" s="176"/>
      <c r="AD29" s="177"/>
      <c r="AE29" s="176"/>
      <c r="AF29" s="176"/>
      <c r="AG29" s="177"/>
      <c r="AH29" s="176"/>
      <c r="AI29" s="176"/>
      <c r="AJ29" s="176"/>
      <c r="AK29" s="177"/>
      <c r="AL29" s="176"/>
      <c r="AM29" s="176"/>
      <c r="AN29" s="177"/>
      <c r="AO29" s="176"/>
      <c r="AP29" s="176"/>
    </row>
    <row r="30" spans="2:42" ht="3" customHeight="1">
      <c r="B30" s="206"/>
      <c r="C30" s="189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</row>
    <row r="31" spans="2:42" ht="15.75">
      <c r="B31" s="205" t="s">
        <v>16</v>
      </c>
      <c r="C31" s="190">
        <v>6</v>
      </c>
      <c r="D31" s="175">
        <v>1</v>
      </c>
      <c r="E31" s="177"/>
      <c r="F31" s="176"/>
      <c r="G31" s="176"/>
      <c r="H31" s="176"/>
      <c r="I31" s="176"/>
      <c r="J31" s="177"/>
      <c r="K31" s="176"/>
      <c r="L31" s="176"/>
      <c r="M31" s="177"/>
      <c r="N31" s="176"/>
      <c r="O31" s="175" t="s">
        <v>277</v>
      </c>
      <c r="P31" s="177"/>
      <c r="Q31" s="176"/>
      <c r="R31" s="176"/>
      <c r="S31" s="177"/>
      <c r="T31" s="176"/>
      <c r="U31" s="176"/>
      <c r="V31" s="176"/>
      <c r="W31" s="177"/>
      <c r="X31" s="176"/>
      <c r="Y31" s="176"/>
      <c r="Z31" s="176"/>
      <c r="AA31" s="177"/>
      <c r="AB31" s="176"/>
      <c r="AC31" s="176">
        <v>1</v>
      </c>
      <c r="AD31" s="177"/>
      <c r="AE31" s="176"/>
      <c r="AF31" s="176"/>
      <c r="AG31" s="177"/>
      <c r="AH31" s="176"/>
      <c r="AI31" s="176"/>
      <c r="AJ31" s="176"/>
      <c r="AK31" s="177"/>
      <c r="AL31" s="176"/>
      <c r="AM31" s="176"/>
      <c r="AN31" s="177"/>
      <c r="AO31" s="176"/>
      <c r="AP31" s="176"/>
    </row>
    <row r="32" spans="2:42" ht="15.75">
      <c r="B32" s="205" t="s">
        <v>103</v>
      </c>
      <c r="C32" s="190">
        <v>32</v>
      </c>
      <c r="D32" s="192" t="s">
        <v>291</v>
      </c>
      <c r="E32" s="177"/>
      <c r="F32" s="176">
        <v>0.8</v>
      </c>
      <c r="G32" s="176"/>
      <c r="H32" s="176">
        <v>0.2</v>
      </c>
      <c r="I32" s="176"/>
      <c r="J32" s="177"/>
      <c r="K32" s="176"/>
      <c r="L32" s="176"/>
      <c r="M32" s="177"/>
      <c r="N32" s="176"/>
      <c r="O32" s="176"/>
      <c r="P32" s="177"/>
      <c r="Q32" s="176"/>
      <c r="R32" s="176"/>
      <c r="S32" s="177"/>
      <c r="T32" s="176"/>
      <c r="U32" s="176"/>
      <c r="V32" s="176"/>
      <c r="W32" s="177"/>
      <c r="X32" s="176"/>
      <c r="Y32" s="176"/>
      <c r="Z32" s="176"/>
      <c r="AA32" s="177"/>
      <c r="AB32" s="176"/>
      <c r="AC32" s="176"/>
      <c r="AD32" s="177"/>
      <c r="AE32" s="176"/>
      <c r="AF32" s="176"/>
      <c r="AG32" s="177"/>
      <c r="AH32" s="176"/>
      <c r="AI32" s="176"/>
      <c r="AJ32" s="176"/>
      <c r="AK32" s="177"/>
      <c r="AL32" s="176"/>
      <c r="AM32" s="176"/>
      <c r="AN32" s="177"/>
      <c r="AO32" s="176"/>
      <c r="AP32" s="176"/>
    </row>
    <row r="33" spans="2:42" ht="3" customHeight="1">
      <c r="B33" s="206"/>
      <c r="C33" s="189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</row>
    <row r="34" spans="2:42" ht="45">
      <c r="B34" s="205" t="s">
        <v>18</v>
      </c>
      <c r="C34" s="190">
        <v>35</v>
      </c>
      <c r="D34" s="175">
        <v>0.55</v>
      </c>
      <c r="E34" s="177"/>
      <c r="F34" s="176"/>
      <c r="G34" s="176"/>
      <c r="H34" s="176"/>
      <c r="I34" s="176"/>
      <c r="J34" s="177"/>
      <c r="K34" s="176"/>
      <c r="L34" s="176"/>
      <c r="M34" s="177"/>
      <c r="N34" s="176"/>
      <c r="O34" s="176"/>
      <c r="P34" s="177"/>
      <c r="Q34" s="176"/>
      <c r="R34" s="176"/>
      <c r="S34" s="177"/>
      <c r="T34" s="176"/>
      <c r="U34" s="176"/>
      <c r="V34" s="176"/>
      <c r="W34" s="177"/>
      <c r="X34" s="191" t="s">
        <v>300</v>
      </c>
      <c r="Y34" s="176"/>
      <c r="Z34" s="191" t="s">
        <v>302</v>
      </c>
      <c r="AA34" s="177"/>
      <c r="AB34" s="176"/>
      <c r="AC34" s="176"/>
      <c r="AD34" s="177"/>
      <c r="AE34" s="176"/>
      <c r="AF34" s="176"/>
      <c r="AG34" s="177"/>
      <c r="AH34" s="176"/>
      <c r="AI34" s="195" t="s">
        <v>303</v>
      </c>
      <c r="AJ34" s="176"/>
      <c r="AK34" s="177"/>
      <c r="AL34" s="176"/>
      <c r="AM34" s="176"/>
      <c r="AN34" s="177"/>
      <c r="AO34" s="176"/>
      <c r="AP34" s="176"/>
    </row>
    <row r="35" spans="2:42" ht="15.75">
      <c r="B35" s="205" t="s">
        <v>231</v>
      </c>
      <c r="C35" s="190">
        <v>10</v>
      </c>
      <c r="D35" s="175">
        <v>0.5</v>
      </c>
      <c r="E35" s="177"/>
      <c r="F35" s="176">
        <v>0.5</v>
      </c>
      <c r="G35" s="175" t="s">
        <v>277</v>
      </c>
      <c r="H35" s="176">
        <v>0.5</v>
      </c>
      <c r="I35" s="176"/>
      <c r="J35" s="177"/>
      <c r="K35" s="176"/>
      <c r="L35" s="176"/>
      <c r="M35" s="177"/>
      <c r="N35" s="176"/>
      <c r="O35" s="176"/>
      <c r="P35" s="177"/>
      <c r="Q35" s="176"/>
      <c r="R35" s="176"/>
      <c r="S35" s="177"/>
      <c r="T35" s="176"/>
      <c r="U35" s="176"/>
      <c r="V35" s="176"/>
      <c r="W35" s="177"/>
      <c r="X35" s="176"/>
      <c r="Y35" s="176"/>
      <c r="Z35" s="176"/>
      <c r="AA35" s="177"/>
      <c r="AB35" s="176"/>
      <c r="AC35" s="176"/>
      <c r="AD35" s="177"/>
      <c r="AE35" s="176"/>
      <c r="AF35" s="176"/>
      <c r="AG35" s="177"/>
      <c r="AH35" s="176"/>
      <c r="AI35" s="176"/>
      <c r="AJ35" s="176"/>
      <c r="AK35" s="177"/>
      <c r="AL35" s="176"/>
      <c r="AM35" s="176"/>
      <c r="AN35" s="177"/>
      <c r="AO35" s="176"/>
      <c r="AP35" s="176"/>
    </row>
    <row r="36" spans="2:42" ht="3" customHeight="1">
      <c r="B36" s="206"/>
      <c r="C36" s="189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</row>
    <row r="37" spans="2:42" ht="15.75">
      <c r="B37" s="205" t="s">
        <v>141</v>
      </c>
      <c r="C37" s="190">
        <v>7</v>
      </c>
      <c r="D37" s="196" t="s">
        <v>305</v>
      </c>
      <c r="E37" s="197"/>
      <c r="F37" s="198"/>
      <c r="G37" s="198"/>
      <c r="H37" s="198"/>
      <c r="I37" s="198"/>
      <c r="J37" s="197"/>
      <c r="K37" s="198"/>
      <c r="L37" s="198"/>
      <c r="M37" s="197"/>
      <c r="N37" s="198"/>
      <c r="O37" s="198"/>
      <c r="P37" s="197"/>
      <c r="Q37" s="198"/>
      <c r="R37" s="198"/>
      <c r="S37" s="197"/>
      <c r="T37" s="176"/>
      <c r="U37" s="176"/>
      <c r="V37" s="176"/>
      <c r="W37" s="197"/>
      <c r="X37" s="176"/>
      <c r="Y37" s="198"/>
      <c r="Z37" s="198"/>
      <c r="AA37" s="197"/>
      <c r="AB37" s="198"/>
      <c r="AC37" s="198"/>
      <c r="AD37" s="197"/>
      <c r="AE37" s="176">
        <v>1</v>
      </c>
      <c r="AF37" s="176"/>
      <c r="AG37" s="197"/>
      <c r="AH37" s="176"/>
      <c r="AI37" s="176"/>
      <c r="AJ37" s="176"/>
      <c r="AK37" s="197"/>
      <c r="AL37" s="176"/>
      <c r="AM37" s="176"/>
      <c r="AN37" s="197"/>
      <c r="AO37" s="176"/>
      <c r="AP37" s="176"/>
    </row>
    <row r="38" spans="2:42" ht="15.75">
      <c r="B38" s="205" t="s">
        <v>24</v>
      </c>
      <c r="C38" s="190">
        <v>17</v>
      </c>
      <c r="D38" s="175">
        <v>1</v>
      </c>
      <c r="E38" s="177"/>
      <c r="F38" s="176"/>
      <c r="G38" s="176"/>
      <c r="H38" s="176"/>
      <c r="I38" s="176"/>
      <c r="J38" s="177"/>
      <c r="K38" s="176"/>
      <c r="L38" s="176"/>
      <c r="M38" s="177"/>
      <c r="N38" s="176"/>
      <c r="O38" s="176"/>
      <c r="P38" s="177"/>
      <c r="Q38" s="176"/>
      <c r="R38" s="176">
        <v>0.66</v>
      </c>
      <c r="S38" s="177"/>
      <c r="T38" s="176"/>
      <c r="U38" s="176"/>
      <c r="V38" s="176"/>
      <c r="W38" s="177"/>
      <c r="X38" s="176"/>
      <c r="Y38" s="176"/>
      <c r="Z38" s="176"/>
      <c r="AA38" s="177"/>
      <c r="AB38" s="176"/>
      <c r="AC38" s="176"/>
      <c r="AD38" s="177"/>
      <c r="AE38" s="176"/>
      <c r="AF38" s="176"/>
      <c r="AG38" s="177"/>
      <c r="AH38" s="176"/>
      <c r="AI38" s="176"/>
      <c r="AJ38" s="175" t="s">
        <v>277</v>
      </c>
      <c r="AK38" s="177"/>
      <c r="AL38" s="176"/>
      <c r="AM38" s="176"/>
      <c r="AN38" s="177"/>
      <c r="AO38" s="176">
        <v>0.34</v>
      </c>
      <c r="AP38" s="176" t="s">
        <v>93</v>
      </c>
    </row>
    <row r="39" spans="2:42" ht="15.75">
      <c r="B39" s="205" t="s">
        <v>157</v>
      </c>
      <c r="C39" s="190">
        <v>2</v>
      </c>
      <c r="D39" s="175">
        <v>1</v>
      </c>
      <c r="E39" s="177"/>
      <c r="F39" s="176"/>
      <c r="G39" s="176"/>
      <c r="H39" s="176">
        <v>1</v>
      </c>
      <c r="I39" s="176"/>
      <c r="J39" s="177"/>
      <c r="K39" s="175" t="s">
        <v>277</v>
      </c>
      <c r="L39" s="176"/>
      <c r="M39" s="177"/>
      <c r="N39" s="176"/>
      <c r="O39" s="176"/>
      <c r="P39" s="177"/>
      <c r="Q39" s="176"/>
      <c r="R39" s="176"/>
      <c r="S39" s="177"/>
      <c r="T39" s="176"/>
      <c r="U39" s="176"/>
      <c r="V39" s="176"/>
      <c r="W39" s="177"/>
      <c r="X39" s="176"/>
      <c r="Y39" s="176"/>
      <c r="Z39" s="176"/>
      <c r="AA39" s="177"/>
      <c r="AB39" s="176"/>
      <c r="AC39" s="176"/>
      <c r="AD39" s="177"/>
      <c r="AE39" s="176"/>
      <c r="AF39" s="176"/>
      <c r="AG39" s="177"/>
      <c r="AH39" s="176"/>
      <c r="AI39" s="176"/>
      <c r="AJ39" s="176"/>
      <c r="AK39" s="177"/>
      <c r="AL39" s="176"/>
      <c r="AM39" s="176"/>
      <c r="AN39" s="177"/>
      <c r="AO39" s="176"/>
      <c r="AP39" s="176"/>
    </row>
    <row r="40" spans="2:42" ht="3" customHeight="1">
      <c r="B40" s="206"/>
      <c r="C40" s="189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</row>
    <row r="41" spans="2:42" ht="31.5">
      <c r="B41" s="205" t="s">
        <v>121</v>
      </c>
      <c r="C41" s="190">
        <v>10</v>
      </c>
      <c r="D41" s="192" t="s">
        <v>291</v>
      </c>
      <c r="E41" s="177"/>
      <c r="F41" s="176"/>
      <c r="G41" s="176"/>
      <c r="H41" s="176">
        <v>1</v>
      </c>
      <c r="I41" s="176"/>
      <c r="J41" s="177"/>
      <c r="K41" s="176"/>
      <c r="L41" s="176"/>
      <c r="M41" s="177"/>
      <c r="N41" s="176"/>
      <c r="O41" s="176"/>
      <c r="P41" s="177"/>
      <c r="Q41" s="176"/>
      <c r="R41" s="176"/>
      <c r="S41" s="177"/>
      <c r="T41" s="176"/>
      <c r="U41" s="176"/>
      <c r="V41" s="176"/>
      <c r="W41" s="177"/>
      <c r="X41" s="176"/>
      <c r="Y41" s="176"/>
      <c r="Z41" s="176"/>
      <c r="AA41" s="177"/>
      <c r="AB41" s="176"/>
      <c r="AC41" s="176"/>
      <c r="AD41" s="177"/>
      <c r="AE41" s="176"/>
      <c r="AF41" s="176"/>
      <c r="AG41" s="177"/>
      <c r="AH41" s="176"/>
      <c r="AI41" s="176"/>
      <c r="AJ41" s="176"/>
      <c r="AK41" s="177"/>
      <c r="AL41" s="176"/>
      <c r="AM41" s="176"/>
      <c r="AN41" s="177"/>
      <c r="AO41" s="176"/>
      <c r="AP41" s="176"/>
    </row>
    <row r="42" spans="2:42" ht="15.75">
      <c r="B42" s="205" t="s">
        <v>245</v>
      </c>
      <c r="C42" s="190">
        <v>250</v>
      </c>
      <c r="D42" s="175">
        <v>0.25</v>
      </c>
      <c r="E42" s="177"/>
      <c r="F42" s="176">
        <v>0.1</v>
      </c>
      <c r="G42" s="176"/>
      <c r="H42" s="176">
        <v>0.2</v>
      </c>
      <c r="I42" s="176"/>
      <c r="J42" s="177"/>
      <c r="K42" s="175" t="s">
        <v>277</v>
      </c>
      <c r="L42" s="176"/>
      <c r="M42" s="177"/>
      <c r="N42" s="176">
        <v>0.25</v>
      </c>
      <c r="O42" s="176"/>
      <c r="P42" s="177"/>
      <c r="Q42" s="176"/>
      <c r="R42" s="176"/>
      <c r="S42" s="177"/>
      <c r="T42" s="176"/>
      <c r="U42" s="175" t="s">
        <v>277</v>
      </c>
      <c r="V42" s="176"/>
      <c r="W42" s="177"/>
      <c r="X42" s="176"/>
      <c r="Y42" s="176"/>
      <c r="Z42" s="176"/>
      <c r="AA42" s="177"/>
      <c r="AB42" s="176"/>
      <c r="AC42" s="176">
        <v>0.05</v>
      </c>
      <c r="AD42" s="177"/>
      <c r="AE42" s="176">
        <v>0.1</v>
      </c>
      <c r="AF42" s="176"/>
      <c r="AG42" s="177"/>
      <c r="AH42" s="176"/>
      <c r="AI42" s="176"/>
      <c r="AJ42" s="176"/>
      <c r="AK42" s="177"/>
      <c r="AL42" s="176"/>
      <c r="AM42" s="176"/>
      <c r="AN42" s="177"/>
      <c r="AO42" s="176"/>
      <c r="AP42" s="176"/>
    </row>
    <row r="43" spans="2:42" ht="15.75">
      <c r="B43" s="205" t="s">
        <v>159</v>
      </c>
      <c r="C43" s="190">
        <v>233</v>
      </c>
      <c r="D43" s="175">
        <v>0.9</v>
      </c>
      <c r="E43" s="177"/>
      <c r="F43" s="176"/>
      <c r="G43" s="176"/>
      <c r="H43" s="176">
        <v>1</v>
      </c>
      <c r="I43" s="176"/>
      <c r="J43" s="177"/>
      <c r="K43" s="175" t="s">
        <v>277</v>
      </c>
      <c r="L43" s="176"/>
      <c r="M43" s="177"/>
      <c r="N43" s="176"/>
      <c r="O43" s="176"/>
      <c r="P43" s="177"/>
      <c r="Q43" s="176"/>
      <c r="R43" s="176"/>
      <c r="S43" s="177"/>
      <c r="T43" s="176"/>
      <c r="U43" s="176"/>
      <c r="V43" s="176"/>
      <c r="W43" s="177"/>
      <c r="X43" s="176"/>
      <c r="Y43" s="176"/>
      <c r="Z43" s="176"/>
      <c r="AA43" s="177"/>
      <c r="AB43" s="176"/>
      <c r="AC43" s="176"/>
      <c r="AD43" s="177"/>
      <c r="AE43" s="176"/>
      <c r="AF43" s="176"/>
      <c r="AG43" s="177"/>
      <c r="AH43" s="176"/>
      <c r="AI43" s="176"/>
      <c r="AJ43" s="176"/>
      <c r="AK43" s="177"/>
      <c r="AL43" s="176"/>
      <c r="AM43" s="176"/>
      <c r="AN43" s="177"/>
      <c r="AO43" s="176"/>
      <c r="AP43" s="176"/>
    </row>
    <row r="44" spans="6:32" ht="12.75">
      <c r="F44" s="200"/>
      <c r="G44" s="200"/>
      <c r="H44" s="200"/>
      <c r="I44" s="200"/>
      <c r="K44" s="200"/>
      <c r="L44" s="200"/>
      <c r="Y44" s="200"/>
      <c r="Z44" s="200"/>
      <c r="AB44" s="200"/>
      <c r="AC44" s="200"/>
      <c r="AE44" s="200"/>
      <c r="AF44" s="200"/>
    </row>
    <row r="45" spans="6:32" ht="12.75">
      <c r="F45" s="200"/>
      <c r="G45" s="200"/>
      <c r="H45" s="200"/>
      <c r="I45" s="200"/>
      <c r="K45" s="200"/>
      <c r="L45" s="200"/>
      <c r="Y45" s="200"/>
      <c r="Z45" s="200"/>
      <c r="AB45" s="200"/>
      <c r="AC45" s="200"/>
      <c r="AE45" s="200"/>
      <c r="AF45" s="200"/>
    </row>
    <row r="46" spans="6:32" ht="12.75">
      <c r="F46" s="200"/>
      <c r="G46" s="200"/>
      <c r="H46" s="200"/>
      <c r="I46" s="200"/>
      <c r="K46" s="200"/>
      <c r="L46" s="200"/>
      <c r="Y46" s="200"/>
      <c r="Z46" s="200"/>
      <c r="AB46" s="200"/>
      <c r="AC46" s="200"/>
      <c r="AE46" s="200"/>
      <c r="AF46" s="200"/>
    </row>
    <row r="47" spans="6:32" ht="12.75">
      <c r="F47" s="200"/>
      <c r="G47" s="200"/>
      <c r="H47" s="200"/>
      <c r="I47" s="200"/>
      <c r="K47" s="200"/>
      <c r="L47" s="200"/>
      <c r="Y47" s="200"/>
      <c r="Z47" s="200"/>
      <c r="AB47" s="200"/>
      <c r="AC47" s="200"/>
      <c r="AE47" s="200"/>
      <c r="AF47" s="200"/>
    </row>
    <row r="48" spans="6:32" ht="12.75">
      <c r="F48" s="200"/>
      <c r="G48" s="200"/>
      <c r="H48" s="200"/>
      <c r="I48" s="200"/>
      <c r="K48" s="200"/>
      <c r="L48" s="200"/>
      <c r="Y48" s="200"/>
      <c r="Z48" s="200"/>
      <c r="AB48" s="200"/>
      <c r="AC48" s="200"/>
      <c r="AE48" s="200"/>
      <c r="AF48" s="200"/>
    </row>
    <row r="49" spans="6:32" ht="12.75">
      <c r="F49" s="200"/>
      <c r="G49" s="200"/>
      <c r="H49" s="200"/>
      <c r="I49" s="200"/>
      <c r="K49" s="200"/>
      <c r="L49" s="200"/>
      <c r="Y49" s="200"/>
      <c r="Z49" s="200"/>
      <c r="AB49" s="200"/>
      <c r="AC49" s="200"/>
      <c r="AE49" s="200"/>
      <c r="AF49" s="200"/>
    </row>
    <row r="50" spans="6:32" ht="12.75">
      <c r="F50" s="200"/>
      <c r="G50" s="200"/>
      <c r="H50" s="200"/>
      <c r="I50" s="200"/>
      <c r="K50" s="200"/>
      <c r="L50" s="200"/>
      <c r="Y50" s="200"/>
      <c r="Z50" s="200"/>
      <c r="AB50" s="200"/>
      <c r="AC50" s="200"/>
      <c r="AE50" s="200"/>
      <c r="AF50" s="200"/>
    </row>
    <row r="51" spans="6:32" ht="12.75">
      <c r="F51" s="200"/>
      <c r="G51" s="200"/>
      <c r="H51" s="200"/>
      <c r="I51" s="200"/>
      <c r="K51" s="200"/>
      <c r="L51" s="200"/>
      <c r="Y51" s="200"/>
      <c r="Z51" s="200"/>
      <c r="AB51" s="200"/>
      <c r="AC51" s="200"/>
      <c r="AE51" s="200"/>
      <c r="AF51" s="200"/>
    </row>
    <row r="52" spans="6:32" ht="12.75">
      <c r="F52" s="200"/>
      <c r="G52" s="200"/>
      <c r="H52" s="200"/>
      <c r="I52" s="200"/>
      <c r="K52" s="200"/>
      <c r="L52" s="200"/>
      <c r="Y52" s="200"/>
      <c r="Z52" s="200"/>
      <c r="AB52" s="200"/>
      <c r="AC52" s="200"/>
      <c r="AE52" s="200"/>
      <c r="AF52" s="200"/>
    </row>
    <row r="53" spans="6:32" ht="12.75">
      <c r="F53" s="200"/>
      <c r="G53" s="200"/>
      <c r="H53" s="200"/>
      <c r="I53" s="200"/>
      <c r="K53" s="200"/>
      <c r="L53" s="200"/>
      <c r="Y53" s="200"/>
      <c r="Z53" s="200"/>
      <c r="AB53" s="200"/>
      <c r="AC53" s="200"/>
      <c r="AE53" s="200"/>
      <c r="AF53" s="200"/>
    </row>
    <row r="54" spans="6:32" ht="12.75">
      <c r="F54" s="200"/>
      <c r="G54" s="200"/>
      <c r="H54" s="200"/>
      <c r="I54" s="200"/>
      <c r="K54" s="200"/>
      <c r="L54" s="200"/>
      <c r="Y54" s="200"/>
      <c r="Z54" s="200"/>
      <c r="AB54" s="200"/>
      <c r="AC54" s="200"/>
      <c r="AE54" s="200"/>
      <c r="AF54" s="200"/>
    </row>
    <row r="55" spans="6:32" ht="12.75">
      <c r="F55" s="200"/>
      <c r="G55" s="200"/>
      <c r="H55" s="200"/>
      <c r="I55" s="200"/>
      <c r="K55" s="200"/>
      <c r="L55" s="200"/>
      <c r="Y55" s="200"/>
      <c r="Z55" s="200"/>
      <c r="AB55" s="200"/>
      <c r="AC55" s="200"/>
      <c r="AE55" s="200"/>
      <c r="AF55" s="200"/>
    </row>
    <row r="56" spans="6:32" ht="12.75">
      <c r="F56" s="200"/>
      <c r="G56" s="200"/>
      <c r="H56" s="200"/>
      <c r="I56" s="200"/>
      <c r="K56" s="200"/>
      <c r="L56" s="200"/>
      <c r="Y56" s="200"/>
      <c r="Z56" s="200"/>
      <c r="AB56" s="200"/>
      <c r="AC56" s="200"/>
      <c r="AE56" s="200"/>
      <c r="AF56" s="200"/>
    </row>
    <row r="57" spans="6:32" ht="12.75">
      <c r="F57" s="200"/>
      <c r="G57" s="200"/>
      <c r="H57" s="200"/>
      <c r="I57" s="200"/>
      <c r="K57" s="200"/>
      <c r="L57" s="200"/>
      <c r="Y57" s="200"/>
      <c r="Z57" s="200"/>
      <c r="AB57" s="200"/>
      <c r="AC57" s="200"/>
      <c r="AE57" s="200"/>
      <c r="AF57" s="200"/>
    </row>
    <row r="58" spans="6:32" ht="12.75">
      <c r="F58" s="200"/>
      <c r="G58" s="200"/>
      <c r="H58" s="200"/>
      <c r="I58" s="200"/>
      <c r="K58" s="200"/>
      <c r="L58" s="200"/>
      <c r="Y58" s="200"/>
      <c r="Z58" s="200"/>
      <c r="AB58" s="200"/>
      <c r="AC58" s="200"/>
      <c r="AE58" s="200"/>
      <c r="AF58" s="200"/>
    </row>
    <row r="59" spans="6:32" ht="12.75">
      <c r="F59" s="200"/>
      <c r="G59" s="200"/>
      <c r="H59" s="200"/>
      <c r="I59" s="200"/>
      <c r="K59" s="200"/>
      <c r="L59" s="200"/>
      <c r="Y59" s="200"/>
      <c r="Z59" s="200"/>
      <c r="AB59" s="200"/>
      <c r="AC59" s="200"/>
      <c r="AE59" s="200"/>
      <c r="AF59" s="200"/>
    </row>
    <row r="60" spans="6:32" ht="12.75">
      <c r="F60" s="200"/>
      <c r="G60" s="200"/>
      <c r="H60" s="200"/>
      <c r="I60" s="200"/>
      <c r="K60" s="200"/>
      <c r="L60" s="200"/>
      <c r="Y60" s="200"/>
      <c r="Z60" s="200"/>
      <c r="AB60" s="200"/>
      <c r="AC60" s="200"/>
      <c r="AE60" s="200"/>
      <c r="AF60" s="200"/>
    </row>
    <row r="61" spans="6:32" ht="12.75">
      <c r="F61" s="200"/>
      <c r="G61" s="200"/>
      <c r="H61" s="200"/>
      <c r="I61" s="200"/>
      <c r="K61" s="200"/>
      <c r="L61" s="200"/>
      <c r="Y61" s="200"/>
      <c r="Z61" s="200"/>
      <c r="AB61" s="200"/>
      <c r="AC61" s="200"/>
      <c r="AE61" s="200"/>
      <c r="AF61" s="200"/>
    </row>
    <row r="62" spans="6:32" ht="12.75">
      <c r="F62" s="200"/>
      <c r="G62" s="200"/>
      <c r="H62" s="200"/>
      <c r="I62" s="200"/>
      <c r="K62" s="200"/>
      <c r="L62" s="200"/>
      <c r="Y62" s="200"/>
      <c r="Z62" s="200"/>
      <c r="AB62" s="200"/>
      <c r="AC62" s="200"/>
      <c r="AE62" s="200"/>
      <c r="AF62" s="200"/>
    </row>
  </sheetData>
  <printOptions horizontalCentered="1" verticalCentered="1"/>
  <pageMargins left="0.25" right="0.4" top="0.25" bottom="0.25" header="0.25" footer="0.25"/>
  <pageSetup fitToHeight="1" fitToWidth="1" horizontalDpi="600" verticalDpi="6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B3:H12"/>
  <sheetViews>
    <sheetView workbookViewId="0" topLeftCell="A1">
      <selection activeCell="A1" sqref="A1"/>
    </sheetView>
  </sheetViews>
  <sheetFormatPr defaultColWidth="9.140625" defaultRowHeight="12.75"/>
  <cols>
    <col min="2" max="2" width="12.8515625" style="0" customWidth="1"/>
    <col min="5" max="5" width="4.28125" style="0" customWidth="1"/>
    <col min="6" max="6" width="14.7109375" style="0" customWidth="1"/>
  </cols>
  <sheetData>
    <row r="3" spans="6:7" ht="12.75">
      <c r="F3" s="245" t="s">
        <v>373</v>
      </c>
      <c r="G3" s="247">
        <f>5617.6+10367.29+51.54</f>
        <v>16036.430000000002</v>
      </c>
    </row>
    <row r="5" spans="2:6" ht="12.75">
      <c r="B5" t="s">
        <v>374</v>
      </c>
      <c r="F5" s="245" t="s">
        <v>376</v>
      </c>
    </row>
    <row r="6" spans="2:8" ht="12.75">
      <c r="B6" t="s">
        <v>0</v>
      </c>
      <c r="C6" s="247">
        <v>33124.35</v>
      </c>
      <c r="D6" s="246">
        <f>+C6/C$11</f>
        <v>0.44466667400520915</v>
      </c>
      <c r="E6" s="245"/>
      <c r="F6" s="245" t="s">
        <v>373</v>
      </c>
      <c r="G6" s="247">
        <f>5617.6+10367.29+51.54</f>
        <v>16036.430000000002</v>
      </c>
      <c r="H6" s="246">
        <f>+G6/G$11</f>
        <v>0.484128141382397</v>
      </c>
    </row>
    <row r="7" spans="2:8" ht="12.75">
      <c r="B7" t="s">
        <v>371</v>
      </c>
      <c r="C7" s="247">
        <f>21906.11</f>
        <v>21906.11</v>
      </c>
      <c r="D7" s="246">
        <f>+C7/C$11</f>
        <v>0.29407119155824196</v>
      </c>
      <c r="E7" s="245"/>
      <c r="F7" s="245" t="s">
        <v>372</v>
      </c>
      <c r="G7" s="247">
        <f>930.48+1455.51+8314.32</f>
        <v>10700.31</v>
      </c>
      <c r="H7" s="246">
        <f>+G7/G$11</f>
        <v>0.32303456520656254</v>
      </c>
    </row>
    <row r="8" spans="2:8" ht="12.75">
      <c r="B8" t="s">
        <v>369</v>
      </c>
      <c r="C8" s="247">
        <v>10798.72</v>
      </c>
      <c r="D8" s="246">
        <f>+C8/C$11</f>
        <v>0.14496377758094972</v>
      </c>
      <c r="E8" s="245"/>
      <c r="F8" s="245" t="s">
        <v>375</v>
      </c>
      <c r="G8" s="247">
        <v>6387.61</v>
      </c>
      <c r="H8" s="246">
        <f>+G8/G$11</f>
        <v>0.19283729341104053</v>
      </c>
    </row>
    <row r="9" spans="2:8" ht="12.75">
      <c r="B9" t="s">
        <v>245</v>
      </c>
      <c r="C9" s="247">
        <v>8049.12</v>
      </c>
      <c r="D9" s="246">
        <f>+C9/C$11</f>
        <v>0.10805269896824568</v>
      </c>
      <c r="E9" s="245"/>
      <c r="F9" s="245"/>
      <c r="G9" s="247"/>
      <c r="H9" s="246"/>
    </row>
    <row r="10" spans="2:8" ht="12.75">
      <c r="B10" t="s">
        <v>370</v>
      </c>
      <c r="C10" s="247">
        <v>614.24</v>
      </c>
      <c r="D10" s="246">
        <f>+C10/C$11</f>
        <v>0.008245657887353553</v>
      </c>
      <c r="E10" s="245"/>
      <c r="F10" s="245"/>
      <c r="G10" s="247"/>
      <c r="H10" s="246"/>
    </row>
    <row r="11" spans="2:8" ht="12.75">
      <c r="B11" t="s">
        <v>377</v>
      </c>
      <c r="C11" s="247">
        <f>SUM(C6:C10)</f>
        <v>74492.54</v>
      </c>
      <c r="D11" s="245"/>
      <c r="E11" s="245"/>
      <c r="F11" s="245"/>
      <c r="G11" s="247">
        <f>SUM(G6:G10)</f>
        <v>33124.35</v>
      </c>
      <c r="H11" s="245"/>
    </row>
    <row r="12" spans="3:6" ht="12.75">
      <c r="C12" s="245"/>
      <c r="D12" s="245"/>
      <c r="E12" s="245"/>
      <c r="F12" s="24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CN93"/>
  <sheetViews>
    <sheetView workbookViewId="0" topLeftCell="Q1">
      <selection activeCell="AD24" sqref="AD24"/>
    </sheetView>
  </sheetViews>
  <sheetFormatPr defaultColWidth="9.140625" defaultRowHeight="12.75"/>
  <cols>
    <col min="1" max="1" width="1.8515625" style="256" customWidth="1"/>
    <col min="2" max="2" width="6.140625" style="256" customWidth="1"/>
    <col min="3" max="3" width="8.28125" style="256" customWidth="1"/>
    <col min="4" max="4" width="0.71875" style="256" customWidth="1"/>
    <col min="5" max="5" width="4.00390625" style="256" bestFit="1" customWidth="1"/>
    <col min="6" max="6" width="4.7109375" style="256" bestFit="1" customWidth="1"/>
    <col min="7" max="7" width="0.85546875" style="256" customWidth="1"/>
    <col min="8" max="8" width="7.00390625" style="256" customWidth="1"/>
    <col min="9" max="9" width="0.85546875" style="256" customWidth="1"/>
    <col min="10" max="10" width="7.00390625" style="256" customWidth="1"/>
    <col min="11" max="11" width="1.28515625" style="256" customWidth="1"/>
    <col min="12" max="12" width="6.00390625" style="256" customWidth="1"/>
    <col min="13" max="13" width="7.57421875" style="256" customWidth="1"/>
    <col min="14" max="14" width="18.57421875" style="256" customWidth="1"/>
    <col min="15" max="15" width="25.28125" style="587" customWidth="1"/>
    <col min="16" max="16" width="26.8515625" style="587" customWidth="1"/>
    <col min="17" max="17" width="0.85546875" style="256" customWidth="1"/>
    <col min="18" max="18" width="6.57421875" style="587" customWidth="1"/>
    <col min="19" max="19" width="0.85546875" style="256" customWidth="1"/>
    <col min="20" max="20" width="7.57421875" style="587" customWidth="1"/>
    <col min="21" max="21" width="8.57421875" style="256" customWidth="1"/>
    <col min="22" max="22" width="7.8515625" style="256" customWidth="1"/>
    <col min="23" max="23" width="8.8515625" style="256" customWidth="1"/>
    <col min="24" max="24" width="1.1484375" style="256" customWidth="1"/>
    <col min="25" max="25" width="7.140625" style="256" customWidth="1"/>
    <col min="26" max="27" width="0.85546875" style="256" customWidth="1"/>
    <col min="28" max="28" width="11.8515625" style="256" customWidth="1"/>
    <col min="29" max="29" width="1.1484375" style="256" customWidth="1"/>
    <col min="30" max="30" width="10.140625" style="256" customWidth="1"/>
    <col min="31" max="31" width="1.28515625" style="0" customWidth="1"/>
    <col min="32" max="32" width="11.28125" style="256" customWidth="1"/>
    <col min="33" max="33" width="1.421875" style="256" customWidth="1"/>
    <col min="34" max="34" width="14.8515625" style="256" customWidth="1"/>
    <col min="35" max="35" width="13.00390625" style="256" customWidth="1"/>
    <col min="36" max="36" width="1.28515625" style="256" customWidth="1"/>
    <col min="37" max="37" width="7.421875" style="256" customWidth="1"/>
    <col min="38" max="38" width="7.00390625" style="256" customWidth="1"/>
    <col min="39" max="39" width="5.00390625" style="256" customWidth="1"/>
    <col min="40" max="40" width="7.57421875" style="256" customWidth="1"/>
    <col min="41" max="41" width="8.00390625" style="256" customWidth="1"/>
    <col min="42" max="42" width="21.00390625" style="256" customWidth="1"/>
    <col min="43" max="43" width="8.28125" style="256" customWidth="1"/>
    <col min="44" max="44" width="9.28125" style="256" customWidth="1"/>
    <col min="45" max="45" width="1.28515625" style="256" customWidth="1"/>
    <col min="46" max="46" width="10.8515625" style="256" customWidth="1"/>
    <col min="47" max="47" width="2.140625" style="256" customWidth="1"/>
    <col min="48" max="48" width="4.00390625" style="256" customWidth="1"/>
    <col min="49" max="49" width="2.8515625" style="256" customWidth="1"/>
    <col min="50" max="50" width="9.421875" style="256" customWidth="1"/>
    <col min="51" max="64" width="6.8515625" style="256" customWidth="1"/>
    <col min="65" max="65" width="2.421875" style="256" customWidth="1"/>
    <col min="66" max="66" width="7.28125" style="257" customWidth="1"/>
    <col min="67" max="67" width="2.421875" style="256" customWidth="1"/>
    <col min="68" max="68" width="9.421875" style="256" customWidth="1"/>
    <col min="69" max="82" width="6.8515625" style="256" customWidth="1"/>
    <col min="83" max="83" width="2.28125" style="256" customWidth="1"/>
    <col min="84" max="16384" width="9.140625" style="256" customWidth="1"/>
  </cols>
  <sheetData>
    <row r="1" ht="13.5" thickBot="1"/>
    <row r="2" spans="2:68" ht="24.75" thickBot="1" thickTop="1">
      <c r="B2" s="258"/>
      <c r="C2" s="258"/>
      <c r="D2" s="258"/>
      <c r="F2" s="258"/>
      <c r="G2" s="258"/>
      <c r="H2" s="588" t="s">
        <v>595</v>
      </c>
      <c r="I2" s="258"/>
      <c r="K2" s="258"/>
      <c r="L2" s="259"/>
      <c r="N2" s="258"/>
      <c r="O2" s="589"/>
      <c r="P2" s="589"/>
      <c r="Q2" s="258"/>
      <c r="R2" s="589"/>
      <c r="S2" s="258"/>
      <c r="T2" s="589"/>
      <c r="U2" s="260"/>
      <c r="V2" s="260"/>
      <c r="W2" s="262"/>
      <c r="X2" s="262"/>
      <c r="Y2" s="261"/>
      <c r="Z2" s="261"/>
      <c r="AA2" s="261"/>
      <c r="AB2" s="590" t="s">
        <v>457</v>
      </c>
      <c r="AC2" s="261"/>
      <c r="AD2" s="591" t="s">
        <v>458</v>
      </c>
      <c r="AF2" s="592" t="s">
        <v>290</v>
      </c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S2" s="259"/>
      <c r="AT2" s="263" t="s">
        <v>384</v>
      </c>
      <c r="AX2" s="264" t="s">
        <v>385</v>
      </c>
      <c r="BP2" s="264" t="s">
        <v>386</v>
      </c>
    </row>
    <row r="3" spans="2:82" ht="21" customHeight="1" thickTop="1">
      <c r="B3" s="593" t="s">
        <v>459</v>
      </c>
      <c r="C3" s="593"/>
      <c r="D3" s="146"/>
      <c r="E3" s="265" t="s">
        <v>387</v>
      </c>
      <c r="F3" s="266" t="s">
        <v>388</v>
      </c>
      <c r="G3" s="146"/>
      <c r="H3" s="146"/>
      <c r="I3" s="146"/>
      <c r="J3" s="146"/>
      <c r="K3" s="146"/>
      <c r="L3" s="146"/>
      <c r="M3" s="146"/>
      <c r="N3" s="146"/>
      <c r="Q3" s="146"/>
      <c r="S3" s="146"/>
      <c r="Y3" s="261"/>
      <c r="AB3" s="594" t="s">
        <v>398</v>
      </c>
      <c r="AC3" s="261"/>
      <c r="AD3" s="591" t="s">
        <v>460</v>
      </c>
      <c r="AF3" s="595" t="s">
        <v>461</v>
      </c>
      <c r="AG3" s="146"/>
      <c r="AH3" s="146"/>
      <c r="AI3" s="146"/>
      <c r="AJ3" s="146"/>
      <c r="AK3" s="267" t="s">
        <v>389</v>
      </c>
      <c r="AL3" s="267" t="s">
        <v>389</v>
      </c>
      <c r="AM3" s="146"/>
      <c r="AN3" s="146"/>
      <c r="AO3" s="146"/>
      <c r="AP3" s="146"/>
      <c r="AQ3" s="268" t="s">
        <v>390</v>
      </c>
      <c r="AR3" s="269"/>
      <c r="AS3" s="146"/>
      <c r="AT3" s="270" t="s">
        <v>391</v>
      </c>
      <c r="AX3" s="267" t="s">
        <v>392</v>
      </c>
      <c r="AY3" s="267" t="s">
        <v>392</v>
      </c>
      <c r="AZ3" s="267" t="s">
        <v>392</v>
      </c>
      <c r="BA3" s="267" t="s">
        <v>392</v>
      </c>
      <c r="BB3" s="267" t="s">
        <v>392</v>
      </c>
      <c r="BC3" s="267" t="s">
        <v>392</v>
      </c>
      <c r="BD3" s="267" t="s">
        <v>392</v>
      </c>
      <c r="BE3" s="267" t="s">
        <v>392</v>
      </c>
      <c r="BF3" s="267" t="s">
        <v>392</v>
      </c>
      <c r="BG3" s="267" t="s">
        <v>392</v>
      </c>
      <c r="BH3" s="267" t="s">
        <v>392</v>
      </c>
      <c r="BI3" s="267" t="s">
        <v>392</v>
      </c>
      <c r="BJ3" s="267" t="s">
        <v>392</v>
      </c>
      <c r="BK3" s="267" t="s">
        <v>392</v>
      </c>
      <c r="BL3" s="267" t="s">
        <v>392</v>
      </c>
      <c r="BP3" s="267" t="s">
        <v>392</v>
      </c>
      <c r="BQ3" s="267" t="s">
        <v>392</v>
      </c>
      <c r="BR3" s="267" t="s">
        <v>392</v>
      </c>
      <c r="BS3" s="267" t="s">
        <v>392</v>
      </c>
      <c r="BT3" s="267" t="s">
        <v>392</v>
      </c>
      <c r="BU3" s="267" t="s">
        <v>392</v>
      </c>
      <c r="BV3" s="267" t="s">
        <v>392</v>
      </c>
      <c r="BW3" s="267" t="s">
        <v>392</v>
      </c>
      <c r="BX3" s="267" t="s">
        <v>392</v>
      </c>
      <c r="BY3" s="267" t="s">
        <v>392</v>
      </c>
      <c r="BZ3" s="267" t="s">
        <v>392</v>
      </c>
      <c r="CA3" s="267" t="s">
        <v>392</v>
      </c>
      <c r="CB3" s="267" t="s">
        <v>392</v>
      </c>
      <c r="CC3" s="267" t="s">
        <v>392</v>
      </c>
      <c r="CD3" s="267" t="s">
        <v>392</v>
      </c>
    </row>
    <row r="4" spans="2:82" s="257" customFormat="1" ht="3.75" customHeight="1" thickBot="1">
      <c r="B4" s="596"/>
      <c r="C4" s="596"/>
      <c r="D4" s="168"/>
      <c r="E4" s="271"/>
      <c r="F4" s="272"/>
      <c r="G4" s="168"/>
      <c r="H4" s="168"/>
      <c r="I4" s="168"/>
      <c r="J4" s="168"/>
      <c r="K4" s="168"/>
      <c r="L4" s="273"/>
      <c r="M4" s="274"/>
      <c r="O4" s="597"/>
      <c r="P4" s="597"/>
      <c r="Q4" s="168"/>
      <c r="R4" s="597"/>
      <c r="S4" s="168"/>
      <c r="T4" s="597"/>
      <c r="V4" s="275"/>
      <c r="W4" s="276"/>
      <c r="X4" s="276"/>
      <c r="Y4" s="261"/>
      <c r="AA4" s="277"/>
      <c r="AB4" s="278"/>
      <c r="AC4" s="277"/>
      <c r="AD4" s="277"/>
      <c r="AF4" s="279"/>
      <c r="AG4" s="277"/>
      <c r="AH4" s="168"/>
      <c r="AI4" s="168"/>
      <c r="AJ4" s="168"/>
      <c r="AK4" s="280"/>
      <c r="AL4" s="168"/>
      <c r="AM4" s="168"/>
      <c r="AN4" s="168"/>
      <c r="AO4" s="168"/>
      <c r="AP4" s="168"/>
      <c r="AQ4" s="281"/>
      <c r="AR4" s="282"/>
      <c r="AS4" s="168"/>
      <c r="AT4" s="27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</row>
    <row r="5" spans="2:82" ht="14.25" thickBot="1" thickTop="1">
      <c r="B5" s="598" t="s">
        <v>462</v>
      </c>
      <c r="C5" s="598" t="s">
        <v>462</v>
      </c>
      <c r="D5" s="267"/>
      <c r="E5" s="283" t="s">
        <v>393</v>
      </c>
      <c r="F5" s="284"/>
      <c r="G5" s="267"/>
      <c r="H5" s="267" t="s">
        <v>463</v>
      </c>
      <c r="I5" s="267"/>
      <c r="J5" s="267" t="s">
        <v>464</v>
      </c>
      <c r="K5" s="267"/>
      <c r="L5" s="285" t="s">
        <v>395</v>
      </c>
      <c r="M5" s="286" t="s">
        <v>396</v>
      </c>
      <c r="N5" s="267" t="s">
        <v>465</v>
      </c>
      <c r="O5" s="285" t="s">
        <v>466</v>
      </c>
      <c r="P5" s="285" t="s">
        <v>467</v>
      </c>
      <c r="Q5" s="267"/>
      <c r="R5" s="599" t="s">
        <v>468</v>
      </c>
      <c r="S5" s="267"/>
      <c r="U5" s="285" t="s">
        <v>469</v>
      </c>
      <c r="V5" s="267" t="s">
        <v>397</v>
      </c>
      <c r="X5" s="600"/>
      <c r="AA5" s="289"/>
      <c r="AB5" s="601" t="s">
        <v>392</v>
      </c>
      <c r="AC5" s="289"/>
      <c r="AD5" s="591" t="s">
        <v>470</v>
      </c>
      <c r="AF5" s="595" t="s">
        <v>392</v>
      </c>
      <c r="AG5" s="267"/>
      <c r="AH5" s="292" t="s">
        <v>471</v>
      </c>
      <c r="AI5" s="285" t="s">
        <v>472</v>
      </c>
      <c r="AJ5" s="285"/>
      <c r="AK5" s="285" t="s">
        <v>91</v>
      </c>
      <c r="AL5" s="285" t="s">
        <v>473</v>
      </c>
      <c r="AM5" s="293" t="s">
        <v>399</v>
      </c>
      <c r="AN5" s="285" t="s">
        <v>474</v>
      </c>
      <c r="AO5" s="285"/>
      <c r="AP5" s="267"/>
      <c r="AQ5" s="294" t="s">
        <v>402</v>
      </c>
      <c r="AR5" s="295" t="s">
        <v>403</v>
      </c>
      <c r="AS5" s="267"/>
      <c r="AT5" s="270" t="s">
        <v>404</v>
      </c>
      <c r="AX5" s="267" t="s">
        <v>405</v>
      </c>
      <c r="AY5" s="267" t="s">
        <v>405</v>
      </c>
      <c r="AZ5" s="267" t="s">
        <v>405</v>
      </c>
      <c r="BA5" s="267" t="s">
        <v>405</v>
      </c>
      <c r="BB5" s="267" t="s">
        <v>405</v>
      </c>
      <c r="BC5" s="267" t="s">
        <v>405</v>
      </c>
      <c r="BD5" s="267" t="s">
        <v>405</v>
      </c>
      <c r="BE5" s="267" t="s">
        <v>405</v>
      </c>
      <c r="BF5" s="267" t="s">
        <v>405</v>
      </c>
      <c r="BG5" s="267" t="s">
        <v>405</v>
      </c>
      <c r="BH5" s="267" t="s">
        <v>405</v>
      </c>
      <c r="BI5" s="267" t="s">
        <v>405</v>
      </c>
      <c r="BJ5" s="267" t="s">
        <v>405</v>
      </c>
      <c r="BK5" s="267" t="s">
        <v>405</v>
      </c>
      <c r="BL5" s="267" t="s">
        <v>405</v>
      </c>
      <c r="BP5" s="267" t="s">
        <v>405</v>
      </c>
      <c r="BQ5" s="267" t="s">
        <v>405</v>
      </c>
      <c r="BR5" s="267" t="s">
        <v>405</v>
      </c>
      <c r="BS5" s="267" t="s">
        <v>405</v>
      </c>
      <c r="BT5" s="267" t="s">
        <v>405</v>
      </c>
      <c r="BU5" s="267" t="s">
        <v>405</v>
      </c>
      <c r="BV5" s="267" t="s">
        <v>405</v>
      </c>
      <c r="BW5" s="267" t="s">
        <v>405</v>
      </c>
      <c r="BX5" s="267" t="s">
        <v>405</v>
      </c>
      <c r="BY5" s="267" t="s">
        <v>405</v>
      </c>
      <c r="BZ5" s="267" t="s">
        <v>405</v>
      </c>
      <c r="CA5" s="267" t="s">
        <v>405</v>
      </c>
      <c r="CB5" s="267" t="s">
        <v>405</v>
      </c>
      <c r="CC5" s="267" t="s">
        <v>405</v>
      </c>
      <c r="CD5" s="267" t="s">
        <v>405</v>
      </c>
    </row>
    <row r="6" spans="2:82" ht="12.75">
      <c r="B6" s="598" t="s">
        <v>475</v>
      </c>
      <c r="C6" s="598" t="s">
        <v>476</v>
      </c>
      <c r="D6" s="267"/>
      <c r="E6" s="283">
        <v>1</v>
      </c>
      <c r="F6" s="284">
        <v>2</v>
      </c>
      <c r="G6" s="267"/>
      <c r="H6" s="267" t="s">
        <v>477</v>
      </c>
      <c r="I6" s="267"/>
      <c r="J6" s="267" t="s">
        <v>394</v>
      </c>
      <c r="K6" s="267"/>
      <c r="L6" s="285" t="s">
        <v>478</v>
      </c>
      <c r="M6" s="286" t="s">
        <v>478</v>
      </c>
      <c r="N6" s="267" t="s">
        <v>479</v>
      </c>
      <c r="O6" s="285" t="s">
        <v>480</v>
      </c>
      <c r="P6" s="285" t="s">
        <v>480</v>
      </c>
      <c r="Q6" s="267"/>
      <c r="R6" s="599" t="s">
        <v>481</v>
      </c>
      <c r="S6" s="267"/>
      <c r="T6" s="288" t="s">
        <v>391</v>
      </c>
      <c r="U6" s="355" t="s">
        <v>482</v>
      </c>
      <c r="V6" s="369" t="s">
        <v>482</v>
      </c>
      <c r="W6" s="287" t="s">
        <v>483</v>
      </c>
      <c r="X6" s="600"/>
      <c r="Y6" s="602" t="s">
        <v>288</v>
      </c>
      <c r="Z6" s="602"/>
      <c r="AA6" s="289"/>
      <c r="AB6" s="290" t="s">
        <v>484</v>
      </c>
      <c r="AC6" s="289"/>
      <c r="AD6" s="217" t="s">
        <v>484</v>
      </c>
      <c r="AF6" s="291" t="s">
        <v>484</v>
      </c>
      <c r="AG6" s="267"/>
      <c r="AH6" s="603" t="s">
        <v>485</v>
      </c>
      <c r="AI6" s="285" t="s">
        <v>377</v>
      </c>
      <c r="AJ6" s="285"/>
      <c r="AK6" s="285" t="s">
        <v>486</v>
      </c>
      <c r="AL6" s="285" t="s">
        <v>486</v>
      </c>
      <c r="AM6" s="293"/>
      <c r="AN6" s="285" t="s">
        <v>487</v>
      </c>
      <c r="AO6" s="285" t="s">
        <v>400</v>
      </c>
      <c r="AP6" s="267" t="s">
        <v>401</v>
      </c>
      <c r="AQ6" s="294" t="s">
        <v>484</v>
      </c>
      <c r="AR6" s="295" t="s">
        <v>484</v>
      </c>
      <c r="AS6" s="267"/>
      <c r="AT6" s="270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</row>
    <row r="7" spans="2:82" s="257" customFormat="1" ht="6" customHeight="1">
      <c r="B7" s="604"/>
      <c r="C7" s="604"/>
      <c r="D7" s="280"/>
      <c r="E7" s="605"/>
      <c r="F7" s="606"/>
      <c r="G7" s="280"/>
      <c r="H7" s="280"/>
      <c r="I7" s="280"/>
      <c r="J7" s="280"/>
      <c r="K7" s="280"/>
      <c r="L7" s="607"/>
      <c r="M7" s="608"/>
      <c r="N7" s="280"/>
      <c r="O7" s="609"/>
      <c r="P7" s="609"/>
      <c r="Q7" s="280"/>
      <c r="R7" s="610"/>
      <c r="S7" s="280"/>
      <c r="T7" s="337"/>
      <c r="U7" s="607"/>
      <c r="V7" s="280"/>
      <c r="W7" s="611"/>
      <c r="X7" s="612"/>
      <c r="Y7" s="613"/>
      <c r="Z7" s="613"/>
      <c r="AA7" s="614"/>
      <c r="AB7" s="615"/>
      <c r="AC7" s="614"/>
      <c r="AD7" s="419"/>
      <c r="AE7" s="616"/>
      <c r="AF7" s="617"/>
      <c r="AG7" s="280"/>
      <c r="AH7" s="603"/>
      <c r="AI7" s="607"/>
      <c r="AJ7" s="607"/>
      <c r="AK7" s="607"/>
      <c r="AL7" s="607"/>
      <c r="AM7" s="293"/>
      <c r="AN7" s="607"/>
      <c r="AO7" s="607"/>
      <c r="AP7" s="280"/>
      <c r="AQ7" s="618"/>
      <c r="AR7" s="295"/>
      <c r="AS7" s="280"/>
      <c r="AT7" s="27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</row>
    <row r="8" spans="2:82" s="633" customFormat="1" ht="12.75">
      <c r="B8" s="619" t="s">
        <v>406</v>
      </c>
      <c r="C8" s="619" t="s">
        <v>407</v>
      </c>
      <c r="D8" s="620"/>
      <c r="E8" s="621" t="s">
        <v>408</v>
      </c>
      <c r="F8" s="622" t="s">
        <v>409</v>
      </c>
      <c r="G8" s="620"/>
      <c r="H8" s="620" t="s">
        <v>410</v>
      </c>
      <c r="I8" s="620"/>
      <c r="J8" s="623" t="s">
        <v>411</v>
      </c>
      <c r="K8" s="620"/>
      <c r="L8" s="623" t="s">
        <v>412</v>
      </c>
      <c r="M8" s="623" t="s">
        <v>413</v>
      </c>
      <c r="N8" s="623" t="s">
        <v>414</v>
      </c>
      <c r="O8" s="623" t="s">
        <v>415</v>
      </c>
      <c r="P8" s="623" t="s">
        <v>416</v>
      </c>
      <c r="Q8" s="620"/>
      <c r="R8" s="623" t="s">
        <v>417</v>
      </c>
      <c r="S8" s="620"/>
      <c r="T8" s="624" t="s">
        <v>488</v>
      </c>
      <c r="U8" s="623" t="s">
        <v>489</v>
      </c>
      <c r="V8" s="623" t="s">
        <v>490</v>
      </c>
      <c r="W8" s="625" t="s">
        <v>418</v>
      </c>
      <c r="X8" s="623"/>
      <c r="Y8" s="623" t="s">
        <v>419</v>
      </c>
      <c r="Z8" s="623"/>
      <c r="AA8" s="623"/>
      <c r="AB8" s="626" t="s">
        <v>420</v>
      </c>
      <c r="AC8" s="623"/>
      <c r="AD8" s="623" t="s">
        <v>491</v>
      </c>
      <c r="AE8" s="627"/>
      <c r="AF8" s="628" t="s">
        <v>421</v>
      </c>
      <c r="AG8" s="623"/>
      <c r="AH8" s="629" t="s">
        <v>422</v>
      </c>
      <c r="AI8" s="623" t="s">
        <v>423</v>
      </c>
      <c r="AJ8" s="623"/>
      <c r="AK8" s="623" t="s">
        <v>492</v>
      </c>
      <c r="AL8" s="623" t="s">
        <v>10</v>
      </c>
      <c r="AM8" s="623" t="s">
        <v>493</v>
      </c>
      <c r="AN8" s="623" t="s">
        <v>424</v>
      </c>
      <c r="AO8" s="623" t="s">
        <v>494</v>
      </c>
      <c r="AP8" s="623" t="s">
        <v>495</v>
      </c>
      <c r="AQ8" s="630" t="s">
        <v>496</v>
      </c>
      <c r="AR8" s="631" t="s">
        <v>497</v>
      </c>
      <c r="AS8" s="623"/>
      <c r="AT8" s="632" t="s">
        <v>424</v>
      </c>
      <c r="AU8" s="627"/>
      <c r="AX8" s="633">
        <v>1</v>
      </c>
      <c r="AY8" s="633">
        <v>2</v>
      </c>
      <c r="AZ8" s="633">
        <v>3</v>
      </c>
      <c r="BA8" s="633">
        <v>4</v>
      </c>
      <c r="BB8" s="633">
        <v>5</v>
      </c>
      <c r="BC8" s="633">
        <v>6</v>
      </c>
      <c r="BD8" s="633">
        <v>7</v>
      </c>
      <c r="BE8" s="633">
        <v>8</v>
      </c>
      <c r="BF8" s="633">
        <v>9</v>
      </c>
      <c r="BG8" s="633">
        <v>10</v>
      </c>
      <c r="BH8" s="633">
        <v>11</v>
      </c>
      <c r="BI8" s="633">
        <v>12</v>
      </c>
      <c r="BJ8" s="633">
        <v>13</v>
      </c>
      <c r="BK8" s="633">
        <v>14</v>
      </c>
      <c r="BL8" s="633">
        <v>15</v>
      </c>
      <c r="BN8" s="634"/>
      <c r="BP8" s="633">
        <v>1</v>
      </c>
      <c r="BQ8" s="633">
        <v>2</v>
      </c>
      <c r="BR8" s="633">
        <v>3</v>
      </c>
      <c r="BS8" s="633">
        <v>4</v>
      </c>
      <c r="BT8" s="633">
        <v>5</v>
      </c>
      <c r="BU8" s="633">
        <v>6</v>
      </c>
      <c r="BV8" s="633">
        <v>7</v>
      </c>
      <c r="BW8" s="633">
        <v>8</v>
      </c>
      <c r="BX8" s="633">
        <v>9</v>
      </c>
      <c r="BY8" s="633">
        <v>10</v>
      </c>
      <c r="BZ8" s="633">
        <v>11</v>
      </c>
      <c r="CA8" s="633">
        <v>12</v>
      </c>
      <c r="CB8" s="633">
        <v>13</v>
      </c>
      <c r="CC8" s="633">
        <v>14</v>
      </c>
      <c r="CD8" s="633">
        <v>15</v>
      </c>
    </row>
    <row r="9" spans="2:82" s="637" customFormat="1" ht="12.75">
      <c r="B9" s="623"/>
      <c r="C9" s="623"/>
      <c r="D9" s="623"/>
      <c r="E9" s="621"/>
      <c r="F9" s="622"/>
      <c r="G9" s="623"/>
      <c r="H9" s="623"/>
      <c r="I9" s="623"/>
      <c r="J9" s="623"/>
      <c r="K9" s="623"/>
      <c r="L9" s="623"/>
      <c r="M9" s="623"/>
      <c r="N9" s="623"/>
      <c r="O9" s="623"/>
      <c r="P9" s="623"/>
      <c r="Q9" s="623"/>
      <c r="R9" s="623"/>
      <c r="S9" s="623"/>
      <c r="T9" s="624"/>
      <c r="U9" s="623"/>
      <c r="V9" s="623"/>
      <c r="W9" s="625" t="s">
        <v>498</v>
      </c>
      <c r="X9" s="623"/>
      <c r="Y9" s="623" t="s">
        <v>499</v>
      </c>
      <c r="Z9" s="623"/>
      <c r="AA9" s="623"/>
      <c r="AB9" s="626" t="s">
        <v>500</v>
      </c>
      <c r="AC9" s="623"/>
      <c r="AD9" s="623" t="s">
        <v>425</v>
      </c>
      <c r="AE9" s="635"/>
      <c r="AF9" s="628" t="s">
        <v>426</v>
      </c>
      <c r="AG9" s="623"/>
      <c r="AH9" s="629" t="s">
        <v>501</v>
      </c>
      <c r="AI9" s="623" t="s">
        <v>502</v>
      </c>
      <c r="AJ9" s="623"/>
      <c r="AK9" s="623"/>
      <c r="AL9" s="623"/>
      <c r="AM9" s="623"/>
      <c r="AN9" s="623"/>
      <c r="AO9" s="623"/>
      <c r="AP9" s="623"/>
      <c r="AQ9" s="630"/>
      <c r="AR9" s="631" t="s">
        <v>427</v>
      </c>
      <c r="AS9" s="623"/>
      <c r="AT9" s="636" t="s">
        <v>428</v>
      </c>
      <c r="AU9" s="620"/>
      <c r="AX9" s="638">
        <v>40735</v>
      </c>
      <c r="AY9" s="638">
        <v>40736</v>
      </c>
      <c r="AZ9" s="638">
        <v>40737</v>
      </c>
      <c r="BA9" s="638">
        <v>40738</v>
      </c>
      <c r="BB9" s="638">
        <v>40735</v>
      </c>
      <c r="BC9" s="638">
        <v>40736</v>
      </c>
      <c r="BD9" s="638">
        <v>40737</v>
      </c>
      <c r="BE9" s="638">
        <v>40738</v>
      </c>
      <c r="BF9" s="638">
        <v>40738</v>
      </c>
      <c r="BG9" s="638">
        <v>40738</v>
      </c>
      <c r="BH9" s="638"/>
      <c r="BI9" s="638"/>
      <c r="BJ9" s="638"/>
      <c r="BK9" s="638"/>
      <c r="BL9" s="638"/>
      <c r="BN9" s="397"/>
      <c r="BP9" s="638">
        <f>IF(AX9="","",AX9)</f>
        <v>40735</v>
      </c>
      <c r="BQ9" s="638">
        <f aca="true" t="shared" si="0" ref="BQ9:CD9">IF(AY9="","",AY9)</f>
        <v>40736</v>
      </c>
      <c r="BR9" s="638">
        <f t="shared" si="0"/>
        <v>40737</v>
      </c>
      <c r="BS9" s="638">
        <f t="shared" si="0"/>
        <v>40738</v>
      </c>
      <c r="BT9" s="638">
        <f t="shared" si="0"/>
        <v>40735</v>
      </c>
      <c r="BU9" s="638">
        <f t="shared" si="0"/>
        <v>40736</v>
      </c>
      <c r="BV9" s="638">
        <f t="shared" si="0"/>
        <v>40737</v>
      </c>
      <c r="BW9" s="638">
        <f t="shared" si="0"/>
        <v>40738</v>
      </c>
      <c r="BX9" s="638">
        <f t="shared" si="0"/>
        <v>40738</v>
      </c>
      <c r="BY9" s="638">
        <f t="shared" si="0"/>
        <v>40738</v>
      </c>
      <c r="BZ9" s="638">
        <f t="shared" si="0"/>
      </c>
      <c r="CA9" s="638">
        <f t="shared" si="0"/>
      </c>
      <c r="CB9" s="638">
        <f t="shared" si="0"/>
      </c>
      <c r="CC9" s="638">
        <f t="shared" si="0"/>
      </c>
      <c r="CD9" s="638">
        <f t="shared" si="0"/>
      </c>
    </row>
    <row r="10" spans="2:82" ht="6" customHeight="1">
      <c r="B10" s="296"/>
      <c r="C10" s="296"/>
      <c r="D10" s="296"/>
      <c r="E10" s="297"/>
      <c r="F10" s="298"/>
      <c r="G10" s="296"/>
      <c r="H10" s="296"/>
      <c r="I10" s="296"/>
      <c r="J10" s="296"/>
      <c r="K10" s="296"/>
      <c r="L10" s="296"/>
      <c r="M10" s="296"/>
      <c r="N10" s="296"/>
      <c r="O10" s="639"/>
      <c r="P10" s="639"/>
      <c r="Q10" s="296"/>
      <c r="R10" s="296"/>
      <c r="S10" s="296"/>
      <c r="T10" s="300"/>
      <c r="U10" s="296"/>
      <c r="V10" s="296"/>
      <c r="W10" s="299"/>
      <c r="X10" s="296"/>
      <c r="Y10" s="296"/>
      <c r="Z10" s="296"/>
      <c r="AA10" s="296"/>
      <c r="AB10" s="301"/>
      <c r="AC10" s="296"/>
      <c r="AD10" s="296"/>
      <c r="AF10" s="303"/>
      <c r="AG10" s="296"/>
      <c r="AH10" s="304"/>
      <c r="AI10" s="296"/>
      <c r="AJ10" s="296"/>
      <c r="AK10" s="296"/>
      <c r="AL10" s="296"/>
      <c r="AM10" s="305"/>
      <c r="AN10" s="296"/>
      <c r="AO10" s="296"/>
      <c r="AP10" s="296"/>
      <c r="AQ10" s="306"/>
      <c r="AR10" s="307"/>
      <c r="AS10" s="296"/>
      <c r="AT10" s="308"/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</row>
    <row r="11" spans="2:83" ht="6" customHeight="1">
      <c r="B11" s="311"/>
      <c r="C11" s="311"/>
      <c r="D11" s="311"/>
      <c r="E11" s="312"/>
      <c r="F11" s="313"/>
      <c r="G11" s="311"/>
      <c r="H11" s="311"/>
      <c r="I11" s="311"/>
      <c r="J11" s="311"/>
      <c r="K11" s="311"/>
      <c r="L11" s="311"/>
      <c r="M11" s="314"/>
      <c r="N11" s="315"/>
      <c r="O11" s="315"/>
      <c r="P11" s="315"/>
      <c r="Q11" s="311"/>
      <c r="R11" s="318"/>
      <c r="S11" s="311"/>
      <c r="T11" s="319"/>
      <c r="U11" s="316"/>
      <c r="V11" s="311"/>
      <c r="W11" s="317"/>
      <c r="X11" s="322"/>
      <c r="Y11" s="640"/>
      <c r="Z11" s="640"/>
      <c r="AA11" s="320"/>
      <c r="AB11" s="321"/>
      <c r="AC11" s="320"/>
      <c r="AD11" s="322"/>
      <c r="AE11" s="322"/>
      <c r="AF11" s="323"/>
      <c r="AG11" s="324"/>
      <c r="AH11" s="325"/>
      <c r="AI11" s="326"/>
      <c r="AJ11" s="326"/>
      <c r="AK11" s="311"/>
      <c r="AL11" s="311"/>
      <c r="AM11" s="311"/>
      <c r="AN11" s="311"/>
      <c r="AO11" s="311"/>
      <c r="AP11" s="311"/>
      <c r="AQ11" s="327"/>
      <c r="AR11" s="328"/>
      <c r="AS11" s="311"/>
      <c r="AT11" s="329"/>
      <c r="AU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O11" s="311"/>
      <c r="BP11" s="311"/>
      <c r="BQ11" s="311"/>
      <c r="BR11" s="311"/>
      <c r="BS11" s="311"/>
      <c r="BT11" s="311"/>
      <c r="BU11" s="311"/>
      <c r="BV11" s="311"/>
      <c r="BW11" s="311"/>
      <c r="BX11" s="311"/>
      <c r="BY11" s="311"/>
      <c r="BZ11" s="311"/>
      <c r="CA11" s="311"/>
      <c r="CB11" s="311"/>
      <c r="CC11" s="311"/>
      <c r="CD11" s="311"/>
      <c r="CE11" s="311"/>
    </row>
    <row r="12" spans="2:46" ht="8.25" customHeight="1">
      <c r="B12" s="267"/>
      <c r="C12" s="267"/>
      <c r="D12" s="267"/>
      <c r="E12" s="330"/>
      <c r="F12" s="331"/>
      <c r="G12" s="267"/>
      <c r="H12" s="267"/>
      <c r="I12" s="267"/>
      <c r="J12" s="267"/>
      <c r="K12" s="267"/>
      <c r="L12" s="267"/>
      <c r="M12" s="332"/>
      <c r="N12" s="333"/>
      <c r="O12" s="333"/>
      <c r="P12" s="333"/>
      <c r="Q12" s="267"/>
      <c r="R12" s="336"/>
      <c r="S12" s="267"/>
      <c r="T12" s="337"/>
      <c r="U12" s="334"/>
      <c r="V12" s="267"/>
      <c r="W12" s="335"/>
      <c r="X12" s="340"/>
      <c r="Y12" s="261"/>
      <c r="Z12" s="261"/>
      <c r="AA12" s="338"/>
      <c r="AB12" s="339"/>
      <c r="AC12" s="338"/>
      <c r="AD12" s="340"/>
      <c r="AF12" s="341"/>
      <c r="AG12" s="342"/>
      <c r="AH12" s="343"/>
      <c r="AI12" s="344"/>
      <c r="AJ12" s="344"/>
      <c r="AK12" s="280"/>
      <c r="AL12" s="267"/>
      <c r="AM12" s="346"/>
      <c r="AN12" s="267"/>
      <c r="AO12" s="267"/>
      <c r="AP12" s="267"/>
      <c r="AQ12" s="347"/>
      <c r="AR12" s="348"/>
      <c r="AS12" s="267"/>
      <c r="AT12" s="349"/>
    </row>
    <row r="13" spans="2:83" ht="12.75">
      <c r="B13" s="641">
        <v>1</v>
      </c>
      <c r="C13" s="641">
        <v>1</v>
      </c>
      <c r="D13" s="267"/>
      <c r="E13" s="350"/>
      <c r="F13" s="351"/>
      <c r="G13" s="267"/>
      <c r="H13" s="641" t="s">
        <v>503</v>
      </c>
      <c r="I13" s="267"/>
      <c r="J13" s="642" t="s">
        <v>504</v>
      </c>
      <c r="K13" s="267"/>
      <c r="L13" s="369">
        <v>54</v>
      </c>
      <c r="M13" s="377" t="s">
        <v>432</v>
      </c>
      <c r="N13" s="382" t="s">
        <v>505</v>
      </c>
      <c r="O13" s="643" t="s">
        <v>506</v>
      </c>
      <c r="P13" s="644" t="s">
        <v>507</v>
      </c>
      <c r="Q13" s="267"/>
      <c r="R13" s="359" t="s">
        <v>430</v>
      </c>
      <c r="S13" s="267"/>
      <c r="T13" s="360">
        <v>73</v>
      </c>
      <c r="U13" s="356">
        <v>13933</v>
      </c>
      <c r="V13" s="357">
        <v>20</v>
      </c>
      <c r="W13" s="358">
        <f>U13*V13/9</f>
        <v>30962.222222222223</v>
      </c>
      <c r="X13" s="645"/>
      <c r="Y13" s="646">
        <f>ROUND(U13/5280,1)</f>
        <v>2.6</v>
      </c>
      <c r="Z13" s="646"/>
      <c r="AA13" s="361"/>
      <c r="AB13" s="362">
        <f>W13*0.45/240</f>
        <v>58.05416666666667</v>
      </c>
      <c r="AC13" s="363"/>
      <c r="AD13" s="364">
        <f>W13*30/2000</f>
        <v>464.43333333333334</v>
      </c>
      <c r="AE13" s="364"/>
      <c r="AF13" s="365">
        <f>W13*0.13/240</f>
        <v>16.771203703703705</v>
      </c>
      <c r="AG13" s="388"/>
      <c r="AH13" s="343">
        <f>ROUND((AB13*$J$59)+(AD13*$J$61)+(AF13*$J$63),0)</f>
        <v>47204</v>
      </c>
      <c r="AI13" s="378">
        <f>AI12+AH13</f>
        <v>47204</v>
      </c>
      <c r="AJ13" s="389"/>
      <c r="AK13" s="253"/>
      <c r="AL13" s="253"/>
      <c r="AM13" s="370"/>
      <c r="AN13" s="253"/>
      <c r="AO13" s="253"/>
      <c r="AP13" s="390"/>
      <c r="AQ13" s="391"/>
      <c r="AR13" s="392"/>
      <c r="AS13" s="253"/>
      <c r="AT13" s="374"/>
      <c r="AU13" s="257"/>
      <c r="AV13" s="257"/>
      <c r="AW13" s="257"/>
      <c r="AX13" s="375">
        <f>IF(AX$8=$E13,$AB13,"")</f>
      </c>
      <c r="AY13" s="375">
        <f>IF(AY$8=$E13,$AB13,"")</f>
      </c>
      <c r="AZ13" s="375">
        <f>IF(AZ$8=$E13,$AB13,"")</f>
      </c>
      <c r="BA13" s="375">
        <f>IF(BA$8=$E13,$AB13,"")</f>
      </c>
      <c r="BB13" s="375">
        <f>IF(BB$8=$E13,$AB13,"")</f>
      </c>
      <c r="BC13" s="375">
        <f>IF(BC$8=$E13,$AB13,"")</f>
      </c>
      <c r="BD13" s="375">
        <f>IF(BD$8=$E13,$AB13,"")</f>
      </c>
      <c r="BE13" s="375">
        <f>IF(BE$8=$E13,$AB13,"")</f>
      </c>
      <c r="BF13" s="375">
        <f>IF(BF$8=$E13,$AB13,"")</f>
      </c>
      <c r="BG13" s="375">
        <f>IF(BG$8=$E13,$AB13,"")</f>
      </c>
      <c r="BH13" s="375">
        <f>IF(BH$8=$E13,$AB13,"")</f>
      </c>
      <c r="BI13" s="375">
        <f>IF(BI$8=$E13,$AB13,"")</f>
      </c>
      <c r="BJ13" s="375">
        <f>IF(BJ$8=$E13,$AB13,"")</f>
      </c>
      <c r="BK13" s="375">
        <f>IF(BK$8=$E13,$AB13,"")</f>
      </c>
      <c r="BL13" s="375">
        <f>IF(BL$8=$E13,$AB13,"")</f>
      </c>
      <c r="BM13" s="257"/>
      <c r="BO13" s="394"/>
      <c r="BP13" s="395">
        <f>IF(BP$8=$E13,$AD13,"")</f>
      </c>
      <c r="BQ13" s="395">
        <f>IF(BQ$8=$E13,$AD13,"")</f>
      </c>
      <c r="BR13" s="395">
        <f>IF(BR$8=$E13,$AD13,"")</f>
      </c>
      <c r="BS13" s="395">
        <f>IF(BS$8=$E13,$AD13,"")</f>
      </c>
      <c r="BT13" s="395">
        <f>IF(BT$8=$E13,$AD13,"")</f>
      </c>
      <c r="BU13" s="395">
        <f>IF(BU$8=$E13,$AD13,"")</f>
      </c>
      <c r="BV13" s="395">
        <f>IF(BV$8=$E13,$AD13,"")</f>
      </c>
      <c r="BW13" s="395">
        <f>IF(BW$8=$E13,$AD13,"")</f>
      </c>
      <c r="BX13" s="395">
        <f>IF(BX$8=$E13,$AD13,"")</f>
      </c>
      <c r="BY13" s="395">
        <f>IF(BY$8=$E13,$AD13,"")</f>
      </c>
      <c r="BZ13" s="395">
        <f>IF(BZ$8=$E13,$AD13,"")</f>
      </c>
      <c r="CA13" s="395">
        <f>IF(CA$8=$E13,$AD13,"")</f>
      </c>
      <c r="CB13" s="395">
        <f>IF(CB$8=$E13,$AD13,"")</f>
      </c>
      <c r="CC13" s="395">
        <f>IF(CC$8=$E13,$AD13,"")</f>
      </c>
      <c r="CD13" s="395">
        <f>IF(CD$8=$E13,$AD13,"")</f>
      </c>
      <c r="CE13" s="394"/>
    </row>
    <row r="14" spans="2:92" ht="12.75">
      <c r="B14" s="641">
        <v>1</v>
      </c>
      <c r="C14" s="641">
        <v>2</v>
      </c>
      <c r="D14" s="267"/>
      <c r="E14" s="379"/>
      <c r="F14" s="380"/>
      <c r="G14" s="267"/>
      <c r="H14" s="641" t="s">
        <v>503</v>
      </c>
      <c r="I14" s="267"/>
      <c r="J14" s="647" t="s">
        <v>508</v>
      </c>
      <c r="K14" s="267"/>
      <c r="L14" s="253">
        <v>54</v>
      </c>
      <c r="M14" s="381" t="s">
        <v>435</v>
      </c>
      <c r="N14" s="382" t="s">
        <v>505</v>
      </c>
      <c r="O14" s="644" t="s">
        <v>507</v>
      </c>
      <c r="P14" s="643" t="s">
        <v>509</v>
      </c>
      <c r="Q14" s="267"/>
      <c r="R14" s="386" t="s">
        <v>430</v>
      </c>
      <c r="S14" s="267"/>
      <c r="T14" s="648">
        <v>64</v>
      </c>
      <c r="U14" s="356">
        <v>5290</v>
      </c>
      <c r="V14" s="357">
        <v>20</v>
      </c>
      <c r="W14" s="358">
        <f>U14*V14/9</f>
        <v>11755.555555555555</v>
      </c>
      <c r="X14" s="645"/>
      <c r="Y14" s="646">
        <f>ROUND(U14/5280,1)</f>
        <v>1</v>
      </c>
      <c r="Z14" s="646"/>
      <c r="AA14" s="387"/>
      <c r="AB14" s="362">
        <f>W14*0.45/240</f>
        <v>22.041666666666668</v>
      </c>
      <c r="AC14" s="363"/>
      <c r="AD14" s="364">
        <f>W14*30/2000</f>
        <v>176.33333333333331</v>
      </c>
      <c r="AE14" s="364"/>
      <c r="AF14" s="365">
        <f>W14*0.13/240</f>
        <v>6.367592592592592</v>
      </c>
      <c r="AG14" s="388"/>
      <c r="AH14" s="343">
        <f>ROUND((AB14*$J$59)+(AD14*$J$61)+(AF14*$J$63),0)</f>
        <v>17922</v>
      </c>
      <c r="AI14" s="378">
        <f>AI13+AH14</f>
        <v>65126</v>
      </c>
      <c r="AJ14" s="389"/>
      <c r="AK14" s="253"/>
      <c r="AL14" s="253"/>
      <c r="AM14" s="370"/>
      <c r="AN14" s="253"/>
      <c r="AO14" s="253"/>
      <c r="AP14" s="390"/>
      <c r="AQ14" s="391"/>
      <c r="AR14" s="392"/>
      <c r="AS14" s="253"/>
      <c r="AT14" s="374"/>
      <c r="AU14" s="257"/>
      <c r="AV14" s="257"/>
      <c r="AW14" s="257"/>
      <c r="AX14" s="375">
        <f>IF(AX$8=$E14,$AB14,"")</f>
      </c>
      <c r="AY14" s="375">
        <f>IF(AY$8=$E14,$AB14,"")</f>
      </c>
      <c r="AZ14" s="375">
        <f>IF(AZ$8=$E14,$AB14,"")</f>
      </c>
      <c r="BA14" s="375">
        <f>IF(BA$8=$E14,$AB14,"")</f>
      </c>
      <c r="BB14" s="375">
        <f>IF(BB$8=$E14,$AB14,"")</f>
      </c>
      <c r="BC14" s="375">
        <f>IF(BC$8=$E14,$AB14,"")</f>
      </c>
      <c r="BD14" s="375">
        <f>IF(BD$8=$E14,$AB14,"")</f>
      </c>
      <c r="BE14" s="375">
        <f>IF(BE$8=$E14,$AB14,"")</f>
      </c>
      <c r="BF14" s="375">
        <f>IF(BF$8=$E14,$AB14,"")</f>
      </c>
      <c r="BG14" s="375">
        <f>IF(BG$8=$E14,$AB14,"")</f>
      </c>
      <c r="BH14" s="375">
        <f>IF(BH$8=$E14,$AB14,"")</f>
      </c>
      <c r="BI14" s="375">
        <f>IF(BI$8=$E14,$AB14,"")</f>
      </c>
      <c r="BJ14" s="375">
        <f>IF(BJ$8=$E14,$AB14,"")</f>
      </c>
      <c r="BK14" s="375">
        <f>IF(BK$8=$E14,$AB14,"")</f>
      </c>
      <c r="BL14" s="375">
        <f>IF(BL$8=$E14,$AB14,"")</f>
      </c>
      <c r="BM14" s="257"/>
      <c r="BO14" s="257"/>
      <c r="BP14" s="376">
        <f>IF(BP$8=$E14,$AD14,"")</f>
      </c>
      <c r="BQ14" s="376">
        <f>IF(BQ$8=$E14,$AD14,"")</f>
      </c>
      <c r="BR14" s="376">
        <f>IF(BR$8=$E14,$AD14,"")</f>
      </c>
      <c r="BS14" s="376">
        <f>IF(BS$8=$E14,$AD14,"")</f>
      </c>
      <c r="BT14" s="376">
        <f>IF(BT$8=$E14,$AD14,"")</f>
      </c>
      <c r="BU14" s="376">
        <f>IF(BU$8=$E14,$AD14,"")</f>
      </c>
      <c r="BV14" s="376">
        <f>IF(BV$8=$E14,$AD14,"")</f>
      </c>
      <c r="BW14" s="376">
        <f>IF(BW$8=$E14,$AD14,"")</f>
      </c>
      <c r="BX14" s="376">
        <f>IF(BX$8=$E14,$AD14,"")</f>
      </c>
      <c r="BY14" s="376">
        <f>IF(BY$8=$E14,$AD14,"")</f>
      </c>
      <c r="BZ14" s="376">
        <f>IF(BZ$8=$E14,$AD14,"")</f>
      </c>
      <c r="CA14" s="376">
        <f>IF(CA$8=$E14,$AD14,"")</f>
      </c>
      <c r="CB14" s="376">
        <f>IF(CB$8=$E14,$AD14,"")</f>
      </c>
      <c r="CC14" s="376">
        <f>IF(CC$8=$E14,$AD14,"")</f>
      </c>
      <c r="CD14" s="376">
        <f>IF(CD$8=$E14,$AD14,"")</f>
      </c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</row>
    <row r="15" spans="2:92" s="257" customFormat="1" ht="12.75" customHeight="1">
      <c r="B15" s="649">
        <v>2</v>
      </c>
      <c r="C15" s="649">
        <v>1</v>
      </c>
      <c r="D15" s="267"/>
      <c r="E15" s="379"/>
      <c r="F15" s="380"/>
      <c r="G15" s="267"/>
      <c r="H15" s="649" t="s">
        <v>510</v>
      </c>
      <c r="I15" s="267"/>
      <c r="J15" s="642" t="s">
        <v>504</v>
      </c>
      <c r="K15" s="267"/>
      <c r="L15" s="369">
        <v>32</v>
      </c>
      <c r="M15" s="377" t="s">
        <v>433</v>
      </c>
      <c r="N15" s="382" t="s">
        <v>511</v>
      </c>
      <c r="O15" s="643" t="s">
        <v>512</v>
      </c>
      <c r="P15" s="644" t="s">
        <v>513</v>
      </c>
      <c r="Q15" s="267"/>
      <c r="R15" s="359" t="s">
        <v>430</v>
      </c>
      <c r="S15" s="267"/>
      <c r="T15" s="360">
        <v>76</v>
      </c>
      <c r="U15" s="356">
        <v>4065</v>
      </c>
      <c r="V15" s="357">
        <v>22</v>
      </c>
      <c r="W15" s="358">
        <f>U15*V15/9</f>
        <v>9936.666666666666</v>
      </c>
      <c r="X15" s="645"/>
      <c r="Y15" s="646">
        <f>ROUND(U15/5280,1)</f>
        <v>0.8</v>
      </c>
      <c r="Z15" s="646"/>
      <c r="AA15" s="361"/>
      <c r="AB15" s="362">
        <f>W15*0.45/240</f>
        <v>18.63125</v>
      </c>
      <c r="AC15" s="363"/>
      <c r="AD15" s="364">
        <f>W15*30/2000</f>
        <v>149.05</v>
      </c>
      <c r="AE15" s="364"/>
      <c r="AF15" s="365">
        <f>W15*0.13/240</f>
        <v>5.382361111111111</v>
      </c>
      <c r="AG15" s="388"/>
      <c r="AH15" s="343">
        <f>ROUND((AB15*$J$59)+(AD15*$J$61)+(AF15*$J$63),0)</f>
        <v>15149</v>
      </c>
      <c r="AI15" s="378">
        <f aca="true" t="shared" si="1" ref="AI15:AI38">AI14+AH15</f>
        <v>80275</v>
      </c>
      <c r="AJ15" s="389"/>
      <c r="AK15" s="253"/>
      <c r="AL15" s="253"/>
      <c r="AM15" s="370"/>
      <c r="AN15" s="253"/>
      <c r="AO15" s="253"/>
      <c r="AP15" s="390"/>
      <c r="AQ15" s="391"/>
      <c r="AR15" s="392"/>
      <c r="AS15" s="253"/>
      <c r="AT15" s="374"/>
      <c r="AX15" s="375">
        <f>IF(AX$8=$E15,$AB15,"")</f>
      </c>
      <c r="AY15" s="375">
        <f>IF(AY$8=$E15,$AB15,"")</f>
      </c>
      <c r="AZ15" s="375">
        <f>IF(AZ$8=$E15,$AB15,"")</f>
      </c>
      <c r="BA15" s="375">
        <f>IF(BA$8=$E15,$AB15,"")</f>
      </c>
      <c r="BB15" s="375">
        <f>IF(BB$8=$E15,$AB15,"")</f>
      </c>
      <c r="BC15" s="375">
        <f>IF(BC$8=$E15,$AB15,"")</f>
      </c>
      <c r="BD15" s="375">
        <f>IF(BD$8=$E15,$AB15,"")</f>
      </c>
      <c r="BE15" s="375">
        <f>IF(BE$8=$E15,$AB15,"")</f>
      </c>
      <c r="BF15" s="375">
        <f>IF(BF$8=$E15,$AB15,"")</f>
      </c>
      <c r="BG15" s="375">
        <f>IF(BG$8=$E15,$AB15,"")</f>
      </c>
      <c r="BH15" s="375">
        <f>IF(BH$8=$E15,$AB15,"")</f>
      </c>
      <c r="BI15" s="375">
        <f>IF(BI$8=$E15,$AB15,"")</f>
      </c>
      <c r="BJ15" s="375">
        <f>IF(BJ$8=$E15,$AB15,"")</f>
      </c>
      <c r="BK15" s="375">
        <f>IF(BK$8=$E15,$AB15,"")</f>
      </c>
      <c r="BL15" s="375">
        <f>IF(BL$8=$E15,$AB15,"")</f>
      </c>
      <c r="BO15" s="256"/>
      <c r="BP15" s="376">
        <f>IF(BP$8=$E15,$AD15,"")</f>
      </c>
      <c r="BQ15" s="376">
        <f>IF(BQ$8=$E15,$AD15,"")</f>
      </c>
      <c r="BR15" s="376">
        <f>IF(BR$8=$E15,$AD15,"")</f>
      </c>
      <c r="BS15" s="376">
        <f>IF(BS$8=$E15,$AD15,"")</f>
      </c>
      <c r="BT15" s="376">
        <f>IF(BT$8=$E15,$AD15,"")</f>
      </c>
      <c r="BU15" s="376">
        <f>IF(BU$8=$E15,$AD15,"")</f>
      </c>
      <c r="BV15" s="376">
        <f>IF(BV$8=$E15,$AD15,"")</f>
      </c>
      <c r="BW15" s="376">
        <f>IF(BW$8=$E15,$AD15,"")</f>
      </c>
      <c r="BX15" s="376">
        <f>IF(BX$8=$E15,$AD15,"")</f>
      </c>
      <c r="BY15" s="376">
        <f>IF(BY$8=$E15,$AD15,"")</f>
      </c>
      <c r="BZ15" s="376">
        <f>IF(BZ$8=$E15,$AD15,"")</f>
      </c>
      <c r="CA15" s="376">
        <f>IF(CA$8=$E15,$AD15,"")</f>
      </c>
      <c r="CB15" s="376">
        <f>IF(CB$8=$E15,$AD15,"")</f>
      </c>
      <c r="CC15" s="376">
        <f>IF(CC$8=$E15,$AD15,"")</f>
      </c>
      <c r="CD15" s="376">
        <f>IF(CD$8=$E15,$AD15,"")</f>
      </c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</row>
    <row r="16" spans="2:82" ht="13.5" customHeight="1">
      <c r="B16" s="649">
        <v>2</v>
      </c>
      <c r="C16" s="649">
        <v>2</v>
      </c>
      <c r="D16" s="267"/>
      <c r="E16" s="379"/>
      <c r="F16" s="380"/>
      <c r="G16" s="267"/>
      <c r="H16" s="650" t="s">
        <v>514</v>
      </c>
      <c r="I16" s="267"/>
      <c r="J16" s="642" t="s">
        <v>504</v>
      </c>
      <c r="K16" s="267"/>
      <c r="L16" s="253">
        <v>40</v>
      </c>
      <c r="M16" s="381" t="s">
        <v>433</v>
      </c>
      <c r="N16" s="382" t="s">
        <v>511</v>
      </c>
      <c r="O16" s="644" t="s">
        <v>513</v>
      </c>
      <c r="P16" s="643" t="s">
        <v>515</v>
      </c>
      <c r="Q16" s="267"/>
      <c r="R16" s="359" t="s">
        <v>430</v>
      </c>
      <c r="S16" s="267"/>
      <c r="T16" s="360">
        <v>73</v>
      </c>
      <c r="U16" s="356">
        <v>2640</v>
      </c>
      <c r="V16" s="357">
        <v>20</v>
      </c>
      <c r="W16" s="358">
        <f>U16*V16/9</f>
        <v>5866.666666666667</v>
      </c>
      <c r="X16" s="645"/>
      <c r="Y16" s="646">
        <f>ROUND(U16/5280,1)</f>
        <v>0.5</v>
      </c>
      <c r="Z16" s="646"/>
      <c r="AA16" s="361"/>
      <c r="AB16" s="362">
        <f>W16*0.45/240</f>
        <v>11</v>
      </c>
      <c r="AC16" s="363"/>
      <c r="AD16" s="364">
        <f>W16*30/2000</f>
        <v>88</v>
      </c>
      <c r="AE16" s="364"/>
      <c r="AF16" s="365">
        <f>W16*0.13/240</f>
        <v>3.177777777777778</v>
      </c>
      <c r="AG16" s="388"/>
      <c r="AH16" s="343">
        <f>ROUND((AB16*$J$59)+(AD16*$J$61)+(AF16*$J$63),0)</f>
        <v>8944</v>
      </c>
      <c r="AI16" s="378">
        <f t="shared" si="1"/>
        <v>89219</v>
      </c>
      <c r="AJ16" s="389"/>
      <c r="AK16" s="253"/>
      <c r="AL16" s="253"/>
      <c r="AM16" s="370"/>
      <c r="AN16" s="253"/>
      <c r="AO16" s="253"/>
      <c r="AP16" s="390"/>
      <c r="AQ16" s="391"/>
      <c r="AR16" s="392"/>
      <c r="AS16" s="253"/>
      <c r="AT16" s="374"/>
      <c r="AU16" s="257"/>
      <c r="AV16" s="257"/>
      <c r="AW16" s="257"/>
      <c r="AX16" s="375">
        <f>IF(AX$8=$E16,$AB16,"")</f>
      </c>
      <c r="AY16" s="375">
        <f>IF(AY$8=$E16,$AB16,"")</f>
      </c>
      <c r="AZ16" s="375">
        <f>IF(AZ$8=$E16,$AB16,"")</f>
      </c>
      <c r="BA16" s="375">
        <f>IF(BA$8=$E16,$AB16,"")</f>
      </c>
      <c r="BB16" s="375">
        <f>IF(BB$8=$E16,$AB16,"")</f>
      </c>
      <c r="BC16" s="375">
        <f>IF(BC$8=$E16,$AB16,"")</f>
      </c>
      <c r="BD16" s="375">
        <f>IF(BD$8=$E16,$AB16,"")</f>
      </c>
      <c r="BE16" s="375">
        <f>IF(BE$8=$E16,$AB16,"")</f>
      </c>
      <c r="BF16" s="375">
        <f>IF(BF$8=$E16,$AB16,"")</f>
      </c>
      <c r="BG16" s="375">
        <f>IF(BG$8=$E16,$AB16,"")</f>
      </c>
      <c r="BH16" s="375">
        <f>IF(BH$8=$E16,$AB16,"")</f>
      </c>
      <c r="BI16" s="375">
        <f>IF(BI$8=$E16,$AB16,"")</f>
      </c>
      <c r="BJ16" s="375">
        <f>IF(BJ$8=$E16,$AB16,"")</f>
      </c>
      <c r="BK16" s="375">
        <f>IF(BK$8=$E16,$AB16,"")</f>
      </c>
      <c r="BL16" s="375">
        <f>IF(BL$8=$E16,$AB16,"")</f>
      </c>
      <c r="BM16" s="257"/>
      <c r="BP16" s="376">
        <f>IF(BP$8=$E16,$AD16,"")</f>
      </c>
      <c r="BQ16" s="376">
        <f>IF(BQ$8=$E16,$AD16,"")</f>
      </c>
      <c r="BR16" s="376">
        <f>IF(BR$8=$E16,$AD16,"")</f>
      </c>
      <c r="BS16" s="376">
        <f>IF(BS$8=$E16,$AD16,"")</f>
      </c>
      <c r="BT16" s="376">
        <f>IF(BT$8=$E16,$AD16,"")</f>
      </c>
      <c r="BU16" s="376">
        <f>IF(BU$8=$E16,$AD16,"")</f>
      </c>
      <c r="BV16" s="376">
        <f>IF(BV$8=$E16,$AD16,"")</f>
      </c>
      <c r="BW16" s="376">
        <f>IF(BW$8=$E16,$AD16,"")</f>
      </c>
      <c r="BX16" s="376">
        <f>IF(BX$8=$E16,$AD16,"")</f>
      </c>
      <c r="BY16" s="376">
        <f>IF(BY$8=$E16,$AD16,"")</f>
      </c>
      <c r="BZ16" s="376">
        <f>IF(BZ$8=$E16,$AD16,"")</f>
      </c>
      <c r="CA16" s="376">
        <f>IF(CA$8=$E16,$AD16,"")</f>
      </c>
      <c r="CB16" s="376">
        <f>IF(CB$8=$E16,$AD16,"")</f>
      </c>
      <c r="CC16" s="376">
        <f>IF(CC$8=$E16,$AD16,"")</f>
      </c>
      <c r="CD16" s="376">
        <f>IF(CD$8=$E16,$AD16,"")</f>
      </c>
    </row>
    <row r="17" spans="2:83" ht="12.75">
      <c r="B17" s="649">
        <v>2</v>
      </c>
      <c r="C17" s="649">
        <v>3</v>
      </c>
      <c r="D17" s="267"/>
      <c r="E17" s="350"/>
      <c r="F17" s="351"/>
      <c r="G17" s="267"/>
      <c r="H17" s="650" t="s">
        <v>514</v>
      </c>
      <c r="I17" s="267"/>
      <c r="J17" s="642" t="s">
        <v>504</v>
      </c>
      <c r="K17" s="267"/>
      <c r="L17" s="369">
        <v>40</v>
      </c>
      <c r="M17" s="377" t="s">
        <v>429</v>
      </c>
      <c r="N17" s="382" t="s">
        <v>511</v>
      </c>
      <c r="O17" s="643" t="s">
        <v>515</v>
      </c>
      <c r="P17" s="644" t="s">
        <v>516</v>
      </c>
      <c r="Q17" s="267"/>
      <c r="R17" s="386" t="s">
        <v>430</v>
      </c>
      <c r="S17" s="267"/>
      <c r="T17" s="360">
        <v>79</v>
      </c>
      <c r="U17" s="356">
        <v>8976</v>
      </c>
      <c r="V17" s="357">
        <v>20</v>
      </c>
      <c r="W17" s="358">
        <f>U17*V17/9</f>
        <v>19946.666666666668</v>
      </c>
      <c r="X17" s="645"/>
      <c r="Y17" s="646">
        <f>ROUND(U17/5280,1)</f>
        <v>1.7</v>
      </c>
      <c r="Z17" s="646"/>
      <c r="AA17" s="361"/>
      <c r="AB17" s="362">
        <f>W17*0.45/240</f>
        <v>37.4</v>
      </c>
      <c r="AC17" s="363"/>
      <c r="AD17" s="364">
        <f>W17*30/2000</f>
        <v>299.2</v>
      </c>
      <c r="AE17" s="364"/>
      <c r="AF17" s="365">
        <f>W17*0.13/240</f>
        <v>10.804444444444446</v>
      </c>
      <c r="AG17" s="388"/>
      <c r="AH17" s="343">
        <f>ROUND((AB17*$J$59)+(AD17*$J$61)+(AF17*$J$63),0)</f>
        <v>30410</v>
      </c>
      <c r="AI17" s="378">
        <f t="shared" si="1"/>
        <v>119629</v>
      </c>
      <c r="AJ17" s="389"/>
      <c r="AK17" s="253"/>
      <c r="AL17" s="253"/>
      <c r="AM17" s="370"/>
      <c r="AN17" s="253"/>
      <c r="AO17" s="253"/>
      <c r="AP17" s="390"/>
      <c r="AQ17" s="391"/>
      <c r="AR17" s="392"/>
      <c r="AS17" s="253"/>
      <c r="AT17" s="374"/>
      <c r="AU17" s="257"/>
      <c r="AV17" s="257"/>
      <c r="AW17" s="257"/>
      <c r="AX17" s="375">
        <f>IF(AX$8=$E17,$AB17,"")</f>
      </c>
      <c r="AY17" s="375">
        <f>IF(AY$8=$E17,$AB17,"")</f>
      </c>
      <c r="AZ17" s="375">
        <f>IF(AZ$8=$E17,$AB17,"")</f>
      </c>
      <c r="BA17" s="375">
        <f>IF(BA$8=$E17,$AB17,"")</f>
      </c>
      <c r="BB17" s="375">
        <f>IF(BB$8=$E17,$AB17,"")</f>
      </c>
      <c r="BC17" s="375">
        <f>IF(BC$8=$E17,$AB17,"")</f>
      </c>
      <c r="BD17" s="375">
        <f>IF(BD$8=$E17,$AB17,"")</f>
      </c>
      <c r="BE17" s="375">
        <f>IF(BE$8=$E17,$AB17,"")</f>
      </c>
      <c r="BF17" s="375">
        <f>IF(BF$8=$E17,$AB17,"")</f>
      </c>
      <c r="BG17" s="375">
        <f>IF(BG$8=$E17,$AB17,"")</f>
      </c>
      <c r="BH17" s="375">
        <f>IF(BH$8=$E17,$AB17,"")</f>
      </c>
      <c r="BI17" s="375">
        <f>IF(BI$8=$E17,$AB17,"")</f>
      </c>
      <c r="BJ17" s="375">
        <f>IF(BJ$8=$E17,$AB17,"")</f>
      </c>
      <c r="BK17" s="375">
        <f>IF(BK$8=$E17,$AB17,"")</f>
      </c>
      <c r="BL17" s="375">
        <f>IF(BL$8=$E17,$AB17,"")</f>
      </c>
      <c r="BM17" s="257"/>
      <c r="BO17" s="394"/>
      <c r="BP17" s="395">
        <f>IF(BP$8=$E17,$AD17,"")</f>
      </c>
      <c r="BQ17" s="395">
        <f>IF(BQ$8=$E17,$AD17,"")</f>
      </c>
      <c r="BR17" s="395">
        <f>IF(BR$8=$E17,$AD17,"")</f>
      </c>
      <c r="BS17" s="395">
        <f>IF(BS$8=$E17,$AD17,"")</f>
      </c>
      <c r="BT17" s="395">
        <f>IF(BT$8=$E17,$AD17,"")</f>
      </c>
      <c r="BU17" s="395">
        <f>IF(BU$8=$E17,$AD17,"")</f>
      </c>
      <c r="BV17" s="395">
        <f>IF(BV$8=$E17,$AD17,"")</f>
      </c>
      <c r="BW17" s="395">
        <f>IF(BW$8=$E17,$AD17,"")</f>
      </c>
      <c r="BX17" s="395">
        <f>IF(BX$8=$E17,$AD17,"")</f>
      </c>
      <c r="BY17" s="395">
        <f>IF(BY$8=$E17,$AD17,"")</f>
      </c>
      <c r="BZ17" s="395">
        <f>IF(BZ$8=$E17,$AD17,"")</f>
      </c>
      <c r="CA17" s="395">
        <f>IF(CA$8=$E17,$AD17,"")</f>
      </c>
      <c r="CB17" s="395">
        <f>IF(CB$8=$E17,$AD17,"")</f>
      </c>
      <c r="CC17" s="395">
        <f>IF(CC$8=$E17,$AD17,"")</f>
      </c>
      <c r="CD17" s="395">
        <f>IF(CD$8=$E17,$AD17,"")</f>
      </c>
      <c r="CE17" s="394"/>
    </row>
    <row r="18" spans="2:83" ht="12.75">
      <c r="B18" s="649">
        <v>2</v>
      </c>
      <c r="C18" s="649">
        <v>4</v>
      </c>
      <c r="D18" s="267"/>
      <c r="E18" s="350"/>
      <c r="F18" s="351"/>
      <c r="G18" s="267"/>
      <c r="H18" s="650" t="s">
        <v>514</v>
      </c>
      <c r="I18" s="267"/>
      <c r="J18" s="651" t="s">
        <v>517</v>
      </c>
      <c r="K18" s="267"/>
      <c r="L18" s="369">
        <v>40</v>
      </c>
      <c r="M18" s="377" t="s">
        <v>431</v>
      </c>
      <c r="N18" s="382" t="s">
        <v>511</v>
      </c>
      <c r="O18" s="644" t="s">
        <v>516</v>
      </c>
      <c r="P18" s="644" t="s">
        <v>518</v>
      </c>
      <c r="Q18" s="267"/>
      <c r="R18" s="386" t="s">
        <v>430</v>
      </c>
      <c r="S18" s="267"/>
      <c r="T18" s="360">
        <v>78</v>
      </c>
      <c r="U18" s="356">
        <v>4959</v>
      </c>
      <c r="V18" s="357">
        <v>21</v>
      </c>
      <c r="W18" s="358">
        <f>U18*V18/9</f>
        <v>11571</v>
      </c>
      <c r="X18" s="645"/>
      <c r="Y18" s="646">
        <f>ROUND(U18/5280,1)</f>
        <v>0.9</v>
      </c>
      <c r="Z18" s="646"/>
      <c r="AA18" s="361"/>
      <c r="AB18" s="362">
        <f>W18*0.45/240</f>
        <v>21.695625</v>
      </c>
      <c r="AC18" s="363"/>
      <c r="AD18" s="364">
        <f>W18*30/2000</f>
        <v>173.565</v>
      </c>
      <c r="AE18" s="364"/>
      <c r="AF18" s="365">
        <f>W18*0.13/240</f>
        <v>6.267625</v>
      </c>
      <c r="AG18" s="388"/>
      <c r="AH18" s="343">
        <f>ROUND((AB18*$J$59)+(AD18*$J$61)+(AF18*$J$63),0)</f>
        <v>17641</v>
      </c>
      <c r="AI18" s="378">
        <f t="shared" si="1"/>
        <v>137270</v>
      </c>
      <c r="AJ18" s="389"/>
      <c r="AK18" s="253"/>
      <c r="AL18" s="253"/>
      <c r="AM18" s="370"/>
      <c r="AN18" s="253"/>
      <c r="AO18" s="253"/>
      <c r="AP18" s="390"/>
      <c r="AQ18" s="391"/>
      <c r="AR18" s="392"/>
      <c r="AS18" s="253"/>
      <c r="AT18" s="374"/>
      <c r="AU18" s="257"/>
      <c r="AV18" s="257"/>
      <c r="AW18" s="257"/>
      <c r="AX18" s="375">
        <f>IF(AX$8=$E18,$AB18,"")</f>
      </c>
      <c r="AY18" s="375">
        <f>IF(AY$8=$E18,$AB18,"")</f>
      </c>
      <c r="AZ18" s="375">
        <f>IF(AZ$8=$E18,$AB18,"")</f>
      </c>
      <c r="BA18" s="375">
        <f>IF(BA$8=$E18,$AB18,"")</f>
      </c>
      <c r="BB18" s="375">
        <f>IF(BB$8=$E18,$AB18,"")</f>
      </c>
      <c r="BC18" s="375">
        <f>IF(BC$8=$E18,$AB18,"")</f>
      </c>
      <c r="BD18" s="375">
        <f>IF(BD$8=$E18,$AB18,"")</f>
      </c>
      <c r="BE18" s="375">
        <f>IF(BE$8=$E18,$AB18,"")</f>
      </c>
      <c r="BF18" s="375">
        <f>IF(BF$8=$E18,$AB18,"")</f>
      </c>
      <c r="BG18" s="375">
        <f>IF(BG$8=$E18,$AB18,"")</f>
      </c>
      <c r="BH18" s="375">
        <f>IF(BH$8=$E18,$AB18,"")</f>
      </c>
      <c r="BI18" s="375">
        <f>IF(BI$8=$E18,$AB18,"")</f>
      </c>
      <c r="BJ18" s="375">
        <f>IF(BJ$8=$E18,$AB18,"")</f>
      </c>
      <c r="BK18" s="375">
        <f>IF(BK$8=$E18,$AB18,"")</f>
      </c>
      <c r="BL18" s="375">
        <f>IF(BL$8=$E18,$AB18,"")</f>
      </c>
      <c r="BM18" s="257"/>
      <c r="BO18" s="394"/>
      <c r="BP18" s="395">
        <f>IF(BP$8=$E18,$AD18,"")</f>
      </c>
      <c r="BQ18" s="395">
        <f>IF(BQ$8=$E18,$AD18,"")</f>
      </c>
      <c r="BR18" s="395">
        <f>IF(BR$8=$E18,$AD18,"")</f>
      </c>
      <c r="BS18" s="395">
        <f>IF(BS$8=$E18,$AD18,"")</f>
      </c>
      <c r="BT18" s="395">
        <f>IF(BT$8=$E18,$AD18,"")</f>
      </c>
      <c r="BU18" s="395">
        <f>IF(BU$8=$E18,$AD18,"")</f>
      </c>
      <c r="BV18" s="395">
        <f>IF(BV$8=$E18,$AD18,"")</f>
      </c>
      <c r="BW18" s="395">
        <f>IF(BW$8=$E18,$AD18,"")</f>
      </c>
      <c r="BX18" s="395">
        <f>IF(BX$8=$E18,$AD18,"")</f>
      </c>
      <c r="BY18" s="395">
        <f>IF(BY$8=$E18,$AD18,"")</f>
      </c>
      <c r="BZ18" s="395">
        <f>IF(BZ$8=$E18,$AD18,"")</f>
      </c>
      <c r="CA18" s="395">
        <f>IF(CA$8=$E18,$AD18,"")</f>
      </c>
      <c r="CB18" s="395">
        <f>IF(CB$8=$E18,$AD18,"")</f>
      </c>
      <c r="CC18" s="395">
        <f>IF(CC$8=$E18,$AD18,"")</f>
      </c>
      <c r="CD18" s="395">
        <f>IF(CD$8=$E18,$AD18,"")</f>
      </c>
      <c r="CE18" s="394"/>
    </row>
    <row r="19" spans="2:82" s="257" customFormat="1" ht="12.75" customHeight="1">
      <c r="B19" s="649">
        <v>2</v>
      </c>
      <c r="C19" s="649">
        <v>5</v>
      </c>
      <c r="D19" s="267"/>
      <c r="E19" s="379"/>
      <c r="F19" s="380"/>
      <c r="G19" s="267"/>
      <c r="H19" s="650" t="s">
        <v>514</v>
      </c>
      <c r="I19" s="267"/>
      <c r="J19" s="651" t="s">
        <v>517</v>
      </c>
      <c r="K19" s="267"/>
      <c r="L19" s="253">
        <v>40</v>
      </c>
      <c r="M19" s="381" t="s">
        <v>432</v>
      </c>
      <c r="N19" s="382" t="s">
        <v>511</v>
      </c>
      <c r="O19" s="644" t="s">
        <v>518</v>
      </c>
      <c r="P19" s="643" t="s">
        <v>519</v>
      </c>
      <c r="Q19" s="267"/>
      <c r="R19" s="359" t="s">
        <v>430</v>
      </c>
      <c r="S19" s="267"/>
      <c r="T19" s="652">
        <v>85</v>
      </c>
      <c r="U19" s="356">
        <v>6552</v>
      </c>
      <c r="V19" s="357">
        <v>22</v>
      </c>
      <c r="W19" s="358">
        <f>U19*V19/9</f>
        <v>16016</v>
      </c>
      <c r="X19" s="645"/>
      <c r="Y19" s="646">
        <f>ROUND(U19/5280,1)</f>
        <v>1.2</v>
      </c>
      <c r="Z19" s="646"/>
      <c r="AA19" s="361"/>
      <c r="AB19" s="362">
        <f>W19*0.45/240</f>
        <v>30.029999999999998</v>
      </c>
      <c r="AC19" s="363"/>
      <c r="AD19" s="364">
        <f>W19*30/2000</f>
        <v>240.24</v>
      </c>
      <c r="AE19" s="364"/>
      <c r="AF19" s="365">
        <f>W19*0.13/240</f>
        <v>8.675333333333333</v>
      </c>
      <c r="AG19" s="388"/>
      <c r="AH19" s="343">
        <f>ROUND((AB19*$J$59)+(AD19*$J$61)+(AF19*$J$63),0)</f>
        <v>24418</v>
      </c>
      <c r="AI19" s="378">
        <f t="shared" si="1"/>
        <v>161688</v>
      </c>
      <c r="AJ19" s="389"/>
      <c r="AK19" s="253"/>
      <c r="AL19" s="253"/>
      <c r="AM19" s="370"/>
      <c r="AN19" s="253"/>
      <c r="AO19" s="253"/>
      <c r="AP19" s="390"/>
      <c r="AQ19" s="391"/>
      <c r="AR19" s="392"/>
      <c r="AS19" s="253"/>
      <c r="AT19" s="374"/>
      <c r="AX19" s="375">
        <f>IF(AX$8=$E19,$AB19,"")</f>
      </c>
      <c r="AY19" s="375">
        <f>IF(AY$8=$E19,$AB19,"")</f>
      </c>
      <c r="AZ19" s="375">
        <f>IF(AZ$8=$E19,$AB19,"")</f>
      </c>
      <c r="BA19" s="375">
        <f>IF(BA$8=$E19,$AB19,"")</f>
      </c>
      <c r="BB19" s="375">
        <f>IF(BB$8=$E19,$AB19,"")</f>
      </c>
      <c r="BC19" s="375">
        <f>IF(BC$8=$E19,$AB19,"")</f>
      </c>
      <c r="BD19" s="375">
        <f>IF(BD$8=$E19,$AB19,"")</f>
      </c>
      <c r="BE19" s="375">
        <f>IF(BE$8=$E19,$AB19,"")</f>
      </c>
      <c r="BF19" s="375">
        <f>IF(BF$8=$E19,$AB19,"")</f>
      </c>
      <c r="BG19" s="375">
        <f>IF(BG$8=$E19,$AB19,"")</f>
      </c>
      <c r="BH19" s="375">
        <f>IF(BH$8=$E19,$AB19,"")</f>
      </c>
      <c r="BI19" s="375">
        <f>IF(BI$8=$E19,$AB19,"")</f>
      </c>
      <c r="BJ19" s="375">
        <f>IF(BJ$8=$E19,$AB19,"")</f>
      </c>
      <c r="BK19" s="375">
        <f>IF(BK$8=$E19,$AB19,"")</f>
      </c>
      <c r="BL19" s="375">
        <f>IF(BL$8=$E19,$AB19,"")</f>
      </c>
      <c r="BP19" s="376">
        <f>IF(BP$8=$E19,$AD19,"")</f>
      </c>
      <c r="BQ19" s="376">
        <f>IF(BQ$8=$E19,$AD19,"")</f>
      </c>
      <c r="BR19" s="376">
        <f>IF(BR$8=$E19,$AD19,"")</f>
      </c>
      <c r="BS19" s="376">
        <f>IF(BS$8=$E19,$AD19,"")</f>
      </c>
      <c r="BT19" s="376">
        <f>IF(BT$8=$E19,$AD19,"")</f>
      </c>
      <c r="BU19" s="376">
        <f>IF(BU$8=$E19,$AD19,"")</f>
      </c>
      <c r="BV19" s="376">
        <f>IF(BV$8=$E19,$AD19,"")</f>
      </c>
      <c r="BW19" s="376">
        <f>IF(BW$8=$E19,$AD19,"")</f>
      </c>
      <c r="BX19" s="376">
        <f>IF(BX$8=$E19,$AD19,"")</f>
      </c>
      <c r="BY19" s="376">
        <f>IF(BY$8=$E19,$AD19,"")</f>
      </c>
      <c r="BZ19" s="376">
        <f>IF(BZ$8=$E19,$AD19,"")</f>
      </c>
      <c r="CA19" s="376">
        <f>IF(CA$8=$E19,$AD19,"")</f>
      </c>
      <c r="CB19" s="376">
        <f>IF(CB$8=$E19,$AD19,"")</f>
      </c>
      <c r="CC19" s="376">
        <f>IF(CC$8=$E19,$AD19,"")</f>
      </c>
      <c r="CD19" s="376">
        <f>IF(CD$8=$E19,$AD19,"")</f>
      </c>
    </row>
    <row r="20" spans="2:92" ht="12.75">
      <c r="B20" s="653">
        <v>3</v>
      </c>
      <c r="C20" s="653">
        <v>1</v>
      </c>
      <c r="D20" s="267"/>
      <c r="E20" s="379"/>
      <c r="F20" s="380"/>
      <c r="G20" s="267"/>
      <c r="H20" s="653" t="s">
        <v>17</v>
      </c>
      <c r="I20" s="267"/>
      <c r="J20" s="642" t="s">
        <v>504</v>
      </c>
      <c r="K20" s="267"/>
      <c r="L20" s="253">
        <v>35</v>
      </c>
      <c r="M20" s="381" t="s">
        <v>435</v>
      </c>
      <c r="N20" s="382" t="s">
        <v>520</v>
      </c>
      <c r="O20" s="643" t="s">
        <v>521</v>
      </c>
      <c r="P20" s="643" t="s">
        <v>522</v>
      </c>
      <c r="Q20" s="267"/>
      <c r="R20" s="654" t="s">
        <v>523</v>
      </c>
      <c r="S20" s="267"/>
      <c r="T20" s="652">
        <v>82</v>
      </c>
      <c r="U20" s="356">
        <v>5927</v>
      </c>
      <c r="V20" s="357">
        <v>22</v>
      </c>
      <c r="W20" s="358">
        <f>U20*V20/9</f>
        <v>14488.222222222223</v>
      </c>
      <c r="X20" s="645"/>
      <c r="Y20" s="646">
        <f>ROUND(U20/5280,1)</f>
        <v>1.1</v>
      </c>
      <c r="Z20" s="646"/>
      <c r="AA20" s="361"/>
      <c r="AB20" s="362">
        <f>W20*0.45/240</f>
        <v>27.16541666666667</v>
      </c>
      <c r="AC20" s="363"/>
      <c r="AD20" s="364">
        <f>W20*30/2000</f>
        <v>217.32333333333335</v>
      </c>
      <c r="AE20" s="364"/>
      <c r="AF20" s="365">
        <f>W20*0.13/240</f>
        <v>7.847787037037038</v>
      </c>
      <c r="AG20" s="388"/>
      <c r="AH20" s="343">
        <f>ROUND((AB20*$J$59)+(AD20*$J$61)+(AF20*$J$63),0)</f>
        <v>22089</v>
      </c>
      <c r="AI20" s="378">
        <f t="shared" si="1"/>
        <v>183777</v>
      </c>
      <c r="AJ20" s="389"/>
      <c r="AK20" s="253"/>
      <c r="AL20" s="253"/>
      <c r="AM20" s="370"/>
      <c r="AN20" s="253"/>
      <c r="AO20" s="253"/>
      <c r="AP20" s="390"/>
      <c r="AQ20" s="391"/>
      <c r="AR20" s="392"/>
      <c r="AS20" s="253"/>
      <c r="AT20" s="374"/>
      <c r="AU20" s="257"/>
      <c r="AV20" s="257"/>
      <c r="AW20" s="257"/>
      <c r="AX20" s="375">
        <f>IF(AX$8=$E20,$AB20,"")</f>
      </c>
      <c r="AY20" s="375">
        <f>IF(AY$8=$E20,$AB20,"")</f>
      </c>
      <c r="AZ20" s="375">
        <f>IF(AZ$8=$E20,$AB20,"")</f>
      </c>
      <c r="BA20" s="375">
        <f>IF(BA$8=$E20,$AB20,"")</f>
      </c>
      <c r="BB20" s="375">
        <f>IF(BB$8=$E20,$AB20,"")</f>
      </c>
      <c r="BC20" s="375">
        <f>IF(BC$8=$E20,$AB20,"")</f>
      </c>
      <c r="BD20" s="375">
        <f>IF(BD$8=$E20,$AB20,"")</f>
      </c>
      <c r="BE20" s="375">
        <f>IF(BE$8=$E20,$AB20,"")</f>
      </c>
      <c r="BF20" s="375">
        <f>IF(BF$8=$E20,$AB20,"")</f>
      </c>
      <c r="BG20" s="375">
        <f>IF(BG$8=$E20,$AB20,"")</f>
      </c>
      <c r="BH20" s="375">
        <f>IF(BH$8=$E20,$AB20,"")</f>
      </c>
      <c r="BI20" s="375">
        <f>IF(BI$8=$E20,$AB20,"")</f>
      </c>
      <c r="BJ20" s="375">
        <f>IF(BJ$8=$E20,$AB20,"")</f>
      </c>
      <c r="BK20" s="375">
        <f>IF(BK$8=$E20,$AB20,"")</f>
      </c>
      <c r="BL20" s="375">
        <f>IF(BL$8=$E20,$AB20,"")</f>
      </c>
      <c r="BM20" s="257"/>
      <c r="BO20" s="257"/>
      <c r="BP20" s="376">
        <f>IF(BP$8=$E20,$AD20,"")</f>
      </c>
      <c r="BQ20" s="376">
        <f>IF(BQ$8=$E20,$AD20,"")</f>
      </c>
      <c r="BR20" s="376">
        <f>IF(BR$8=$E20,$AD20,"")</f>
      </c>
      <c r="BS20" s="376">
        <f>IF(BS$8=$E20,$AD20,"")</f>
      </c>
      <c r="BT20" s="376">
        <f>IF(BT$8=$E20,$AD20,"")</f>
      </c>
      <c r="BU20" s="376">
        <f>IF(BU$8=$E20,$AD20,"")</f>
      </c>
      <c r="BV20" s="376">
        <f>IF(BV$8=$E20,$AD20,"")</f>
      </c>
      <c r="BW20" s="376">
        <f>IF(BW$8=$E20,$AD20,"")</f>
      </c>
      <c r="BX20" s="376">
        <f>IF(BX$8=$E20,$AD20,"")</f>
      </c>
      <c r="BY20" s="376">
        <f>IF(BY$8=$E20,$AD20,"")</f>
      </c>
      <c r="BZ20" s="376">
        <f>IF(BZ$8=$E20,$AD20,"")</f>
      </c>
      <c r="CA20" s="376">
        <f>IF(CA$8=$E20,$AD20,"")</f>
      </c>
      <c r="CB20" s="376">
        <f>IF(CB$8=$E20,$AD20,"")</f>
      </c>
      <c r="CC20" s="376">
        <f>IF(CC$8=$E20,$AD20,"")</f>
      </c>
      <c r="CD20" s="376">
        <f>IF(CD$8=$E20,$AD20,"")</f>
      </c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</row>
    <row r="21" spans="2:83" ht="12.75">
      <c r="B21" s="653">
        <v>3</v>
      </c>
      <c r="C21" s="653">
        <v>2</v>
      </c>
      <c r="D21" s="267"/>
      <c r="E21" s="350"/>
      <c r="F21" s="351"/>
      <c r="G21" s="267"/>
      <c r="H21" s="653" t="s">
        <v>17</v>
      </c>
      <c r="I21" s="267"/>
      <c r="J21" s="642" t="s">
        <v>504</v>
      </c>
      <c r="K21" s="267"/>
      <c r="L21" s="369">
        <v>3</v>
      </c>
      <c r="M21" s="377" t="s">
        <v>433</v>
      </c>
      <c r="N21" s="382" t="s">
        <v>520</v>
      </c>
      <c r="O21" s="643" t="s">
        <v>522</v>
      </c>
      <c r="P21" s="644" t="s">
        <v>524</v>
      </c>
      <c r="Q21" s="267"/>
      <c r="R21" s="359" t="s">
        <v>430</v>
      </c>
      <c r="S21" s="267"/>
      <c r="T21" s="360">
        <v>70</v>
      </c>
      <c r="U21" s="356">
        <v>12144</v>
      </c>
      <c r="V21" s="357">
        <v>21</v>
      </c>
      <c r="W21" s="358">
        <f>U21*V21/9</f>
        <v>28336</v>
      </c>
      <c r="X21" s="645"/>
      <c r="Y21" s="646">
        <f>ROUND(U21/5280,1)</f>
        <v>2.3</v>
      </c>
      <c r="Z21" s="646"/>
      <c r="AA21" s="361"/>
      <c r="AB21" s="362">
        <f>W21*0.45/240</f>
        <v>53.13</v>
      </c>
      <c r="AC21" s="363"/>
      <c r="AD21" s="364">
        <f>W21*30/2000</f>
        <v>425.04</v>
      </c>
      <c r="AE21" s="364"/>
      <c r="AF21" s="365">
        <f>W21*0.13/240</f>
        <v>15.348666666666668</v>
      </c>
      <c r="AG21" s="388"/>
      <c r="AH21" s="343">
        <f>ROUND((AB21*$J$59)+(AD21*$J$61)+(AF21*$J$63),0)</f>
        <v>43201</v>
      </c>
      <c r="AI21" s="378">
        <f t="shared" si="1"/>
        <v>226978</v>
      </c>
      <c r="AJ21" s="389"/>
      <c r="AK21" s="253"/>
      <c r="AL21" s="253"/>
      <c r="AM21" s="370"/>
      <c r="AN21" s="253"/>
      <c r="AO21" s="253"/>
      <c r="AP21" s="390"/>
      <c r="AQ21" s="391"/>
      <c r="AR21" s="392"/>
      <c r="AS21" s="253"/>
      <c r="AT21" s="374"/>
      <c r="AU21" s="257"/>
      <c r="AV21" s="257"/>
      <c r="AW21" s="257"/>
      <c r="AX21" s="375">
        <f>IF(AX$8=$E21,$AB21,"")</f>
      </c>
      <c r="AY21" s="375">
        <f>IF(AY$8=$E21,$AB21,"")</f>
      </c>
      <c r="AZ21" s="375">
        <f>IF(AZ$8=$E21,$AB21,"")</f>
      </c>
      <c r="BA21" s="375">
        <f>IF(BA$8=$E21,$AB21,"")</f>
      </c>
      <c r="BB21" s="375">
        <f>IF(BB$8=$E21,$AB21,"")</f>
      </c>
      <c r="BC21" s="375">
        <f>IF(BC$8=$E21,$AB21,"")</f>
      </c>
      <c r="BD21" s="375">
        <f>IF(BD$8=$E21,$AB21,"")</f>
      </c>
      <c r="BE21" s="375">
        <f>IF(BE$8=$E21,$AB21,"")</f>
      </c>
      <c r="BF21" s="375">
        <f>IF(BF$8=$E21,$AB21,"")</f>
      </c>
      <c r="BG21" s="375">
        <f>IF(BG$8=$E21,$AB21,"")</f>
      </c>
      <c r="BH21" s="375">
        <f>IF(BH$8=$E21,$AB21,"")</f>
      </c>
      <c r="BI21" s="375">
        <f>IF(BI$8=$E21,$AB21,"")</f>
      </c>
      <c r="BJ21" s="375">
        <f>IF(BJ$8=$E21,$AB21,"")</f>
      </c>
      <c r="BK21" s="375">
        <f>IF(BK$8=$E21,$AB21,"")</f>
      </c>
      <c r="BL21" s="375">
        <f>IF(BL$8=$E21,$AB21,"")</f>
      </c>
      <c r="BM21" s="257"/>
      <c r="BO21" s="394"/>
      <c r="BP21" s="395">
        <f>IF(BP$8=$E21,$AD21,"")</f>
      </c>
      <c r="BQ21" s="395">
        <f>IF(BQ$8=$E21,$AD21,"")</f>
      </c>
      <c r="BR21" s="395">
        <f>IF(BR$8=$E21,$AD21,"")</f>
      </c>
      <c r="BS21" s="395">
        <f>IF(BS$8=$E21,$AD21,"")</f>
      </c>
      <c r="BT21" s="395">
        <f>IF(BT$8=$E21,$AD21,"")</f>
      </c>
      <c r="BU21" s="395">
        <f>IF(BU$8=$E21,$AD21,"")</f>
      </c>
      <c r="BV21" s="395">
        <f>IF(BV$8=$E21,$AD21,"")</f>
      </c>
      <c r="BW21" s="395">
        <f>IF(BW$8=$E21,$AD21,"")</f>
      </c>
      <c r="BX21" s="395">
        <f>IF(BX$8=$E21,$AD21,"")</f>
      </c>
      <c r="BY21" s="395">
        <f>IF(BY$8=$E21,$AD21,"")</f>
      </c>
      <c r="BZ21" s="395">
        <f>IF(BZ$8=$E21,$AD21,"")</f>
      </c>
      <c r="CA21" s="395">
        <f>IF(CA$8=$E21,$AD21,"")</f>
      </c>
      <c r="CB21" s="395">
        <f>IF(CB$8=$E21,$AD21,"")</f>
      </c>
      <c r="CC21" s="395">
        <f>IF(CC$8=$E21,$AD21,"")</f>
      </c>
      <c r="CD21" s="395">
        <f>IF(CD$8=$E21,$AD21,"")</f>
      </c>
      <c r="CE21" s="394"/>
    </row>
    <row r="22" spans="2:92" s="257" customFormat="1" ht="12.75" customHeight="1">
      <c r="B22" s="653">
        <v>3</v>
      </c>
      <c r="C22" s="653">
        <v>3</v>
      </c>
      <c r="D22" s="267"/>
      <c r="E22" s="402">
        <v>1</v>
      </c>
      <c r="F22" s="403">
        <v>1</v>
      </c>
      <c r="G22" s="267"/>
      <c r="H22" s="653" t="s">
        <v>17</v>
      </c>
      <c r="I22" s="267"/>
      <c r="J22" s="642" t="s">
        <v>504</v>
      </c>
      <c r="K22" s="267"/>
      <c r="L22" s="401">
        <v>3</v>
      </c>
      <c r="M22" s="377" t="s">
        <v>429</v>
      </c>
      <c r="N22" s="404" t="s">
        <v>520</v>
      </c>
      <c r="O22" s="644" t="s">
        <v>524</v>
      </c>
      <c r="P22" s="644" t="s">
        <v>525</v>
      </c>
      <c r="Q22" s="267"/>
      <c r="R22" s="359" t="s">
        <v>430</v>
      </c>
      <c r="S22" s="267"/>
      <c r="T22" s="360">
        <v>74</v>
      </c>
      <c r="U22" s="356">
        <v>10982</v>
      </c>
      <c r="V22" s="357">
        <v>28</v>
      </c>
      <c r="W22" s="358">
        <f>U22*V22/9</f>
        <v>34166.22222222222</v>
      </c>
      <c r="X22" s="645"/>
      <c r="Y22" s="646">
        <f>ROUND(U22/5280,1)</f>
        <v>2.1</v>
      </c>
      <c r="Z22" s="646"/>
      <c r="AA22" s="361"/>
      <c r="AB22" s="362">
        <f>W22*0.45/240</f>
        <v>64.06166666666667</v>
      </c>
      <c r="AC22" s="363"/>
      <c r="AD22" s="364">
        <f>W22*30/2000</f>
        <v>512.4933333333332</v>
      </c>
      <c r="AE22" s="364"/>
      <c r="AF22" s="365">
        <f>W22*0.13/240</f>
        <v>18.506703703703703</v>
      </c>
      <c r="AG22" s="388"/>
      <c r="AH22" s="343">
        <f>ROUND((AB22*$J$59)+(AD22*$J$61)+(AF22*$J$63),0)</f>
        <v>52089</v>
      </c>
      <c r="AI22" s="378">
        <f t="shared" si="1"/>
        <v>279067</v>
      </c>
      <c r="AJ22" s="389"/>
      <c r="AK22" s="253"/>
      <c r="AL22" s="253"/>
      <c r="AM22" s="370"/>
      <c r="AN22" s="253"/>
      <c r="AO22" s="253"/>
      <c r="AP22" s="390"/>
      <c r="AQ22" s="391"/>
      <c r="AR22" s="392"/>
      <c r="AS22" s="253"/>
      <c r="AT22" s="374"/>
      <c r="AX22" s="375">
        <f>IF(AX$8=$E22,$AB22,"")</f>
        <v>64.06166666666667</v>
      </c>
      <c r="AY22" s="375">
        <f>IF(AY$8=$E22,$AB22,"")</f>
      </c>
      <c r="AZ22" s="375">
        <f>IF(AZ$8=$E22,$AB22,"")</f>
      </c>
      <c r="BA22" s="375">
        <f>IF(BA$8=$E22,$AB22,"")</f>
      </c>
      <c r="BB22" s="375">
        <f>IF(BB$8=$E22,$AB22,"")</f>
      </c>
      <c r="BC22" s="375">
        <f>IF(BC$8=$E22,$AB22,"")</f>
      </c>
      <c r="BD22" s="375">
        <f>IF(BD$8=$E22,$AB22,"")</f>
      </c>
      <c r="BE22" s="375">
        <f>IF(BE$8=$E22,$AB22,"")</f>
      </c>
      <c r="BF22" s="375">
        <f>IF(BF$8=$E22,$AB22,"")</f>
      </c>
      <c r="BG22" s="375">
        <f>IF(BG$8=$E22,$AB22,"")</f>
      </c>
      <c r="BH22" s="375">
        <f>IF(BH$8=$E22,$AB22,"")</f>
      </c>
      <c r="BI22" s="375">
        <f>IF(BI$8=$E22,$AB22,"")</f>
      </c>
      <c r="BJ22" s="375">
        <f>IF(BJ$8=$E22,$AB22,"")</f>
      </c>
      <c r="BK22" s="375">
        <f>IF(BK$8=$E22,$AB22,"")</f>
      </c>
      <c r="BL22" s="375">
        <f>IF(BL$8=$E22,$AB22,"")</f>
      </c>
      <c r="BN22" s="406"/>
      <c r="BO22" s="405"/>
      <c r="BP22" s="376">
        <f>IF(BP$8=$E22,$AD22,"")</f>
        <v>512.4933333333332</v>
      </c>
      <c r="BQ22" s="376">
        <f>IF(BQ$8=$E22,$AD22,"")</f>
      </c>
      <c r="BR22" s="376">
        <f>IF(BR$8=$E22,$AD22,"")</f>
      </c>
      <c r="BS22" s="376">
        <f>IF(BS$8=$E22,$AD22,"")</f>
      </c>
      <c r="BT22" s="376">
        <f>IF(BT$8=$E22,$AD22,"")</f>
      </c>
      <c r="BU22" s="376">
        <f>IF(BU$8=$E22,$AD22,"")</f>
      </c>
      <c r="BV22" s="376">
        <f>IF(BV$8=$E22,$AD22,"")</f>
      </c>
      <c r="BW22" s="376">
        <f>IF(BW$8=$E22,$AD22,"")</f>
      </c>
      <c r="BX22" s="376">
        <f>IF(BX$8=$E22,$AD22,"")</f>
      </c>
      <c r="BY22" s="376">
        <f>IF(BY$8=$E22,$AD22,"")</f>
      </c>
      <c r="BZ22" s="376">
        <f>IF(BZ$8=$E22,$AD22,"")</f>
      </c>
      <c r="CA22" s="376">
        <f>IF(CA$8=$E22,$AD22,"")</f>
      </c>
      <c r="CB22" s="376">
        <f>IF(CB$8=$E22,$AD22,"")</f>
      </c>
      <c r="CC22" s="376">
        <f>IF(CC$8=$E22,$AD22,"")</f>
      </c>
      <c r="CD22" s="376">
        <f>IF(CD$8=$E22,$AD22,"")</f>
      </c>
      <c r="CE22" s="405"/>
      <c r="CF22" s="405"/>
      <c r="CG22" s="405"/>
      <c r="CH22" s="405"/>
      <c r="CI22" s="405"/>
      <c r="CJ22" s="405"/>
      <c r="CK22" s="405"/>
      <c r="CL22" s="405"/>
      <c r="CM22" s="405"/>
      <c r="CN22" s="405"/>
    </row>
    <row r="23" spans="2:92" ht="12.75">
      <c r="B23" s="653">
        <v>3</v>
      </c>
      <c r="C23" s="653">
        <v>4</v>
      </c>
      <c r="D23" s="267"/>
      <c r="E23" s="379"/>
      <c r="F23" s="380"/>
      <c r="G23" s="267"/>
      <c r="H23" s="655" t="s">
        <v>526</v>
      </c>
      <c r="I23" s="267"/>
      <c r="J23" s="651" t="s">
        <v>517</v>
      </c>
      <c r="K23" s="267"/>
      <c r="L23" s="253">
        <v>3</v>
      </c>
      <c r="M23" s="381" t="s">
        <v>431</v>
      </c>
      <c r="N23" s="382" t="s">
        <v>520</v>
      </c>
      <c r="O23" s="644" t="s">
        <v>525</v>
      </c>
      <c r="P23" s="643" t="s">
        <v>527</v>
      </c>
      <c r="Q23" s="267"/>
      <c r="R23" s="359" t="s">
        <v>430</v>
      </c>
      <c r="S23" s="267"/>
      <c r="T23" s="652">
        <v>82</v>
      </c>
      <c r="U23" s="356">
        <v>7170</v>
      </c>
      <c r="V23" s="357">
        <v>22</v>
      </c>
      <c r="W23" s="358">
        <f>U23*V23/9</f>
        <v>17526.666666666668</v>
      </c>
      <c r="X23" s="645"/>
      <c r="Y23" s="646">
        <f>ROUND(U23/5280,1)</f>
        <v>1.4</v>
      </c>
      <c r="Z23" s="646"/>
      <c r="AA23" s="361"/>
      <c r="AB23" s="362">
        <f>W23*0.45/240</f>
        <v>32.862500000000004</v>
      </c>
      <c r="AC23" s="363"/>
      <c r="AD23" s="364">
        <f>W23*30/2000</f>
        <v>262.9</v>
      </c>
      <c r="AE23" s="364"/>
      <c r="AF23" s="365">
        <f>W23*0.13/240</f>
        <v>9.493611111111111</v>
      </c>
      <c r="AG23" s="388"/>
      <c r="AH23" s="343">
        <f>ROUND((AB23*$J$59)+(AD23*$J$61)+(AF23*$J$63),0)</f>
        <v>26721</v>
      </c>
      <c r="AI23" s="378">
        <f t="shared" si="1"/>
        <v>305788</v>
      </c>
      <c r="AJ23" s="389"/>
      <c r="AK23" s="253"/>
      <c r="AL23" s="253"/>
      <c r="AM23" s="370"/>
      <c r="AN23" s="253"/>
      <c r="AO23" s="253"/>
      <c r="AP23" s="390"/>
      <c r="AQ23" s="391"/>
      <c r="AR23" s="392"/>
      <c r="AS23" s="253"/>
      <c r="AT23" s="374"/>
      <c r="AU23" s="257"/>
      <c r="AV23" s="257"/>
      <c r="AW23" s="257"/>
      <c r="AX23" s="375">
        <f>IF(AX$8=$E23,$AB23,"")</f>
      </c>
      <c r="AY23" s="375">
        <f>IF(AY$8=$E23,$AB23,"")</f>
      </c>
      <c r="AZ23" s="375">
        <f>IF(AZ$8=$E23,$AB23,"")</f>
      </c>
      <c r="BA23" s="375">
        <f>IF(BA$8=$E23,$AB23,"")</f>
      </c>
      <c r="BB23" s="375">
        <f>IF(BB$8=$E23,$AB23,"")</f>
      </c>
      <c r="BC23" s="375">
        <f>IF(BC$8=$E23,$AB23,"")</f>
      </c>
      <c r="BD23" s="375">
        <f>IF(BD$8=$E23,$AB23,"")</f>
      </c>
      <c r="BE23" s="375">
        <f>IF(BE$8=$E23,$AB23,"")</f>
      </c>
      <c r="BF23" s="375">
        <f>IF(BF$8=$E23,$AB23,"")</f>
      </c>
      <c r="BG23" s="375">
        <f>IF(BG$8=$E23,$AB23,"")</f>
      </c>
      <c r="BH23" s="375">
        <f>IF(BH$8=$E23,$AB23,"")</f>
      </c>
      <c r="BI23" s="375">
        <f>IF(BI$8=$E23,$AB23,"")</f>
      </c>
      <c r="BJ23" s="375">
        <f>IF(BJ$8=$E23,$AB23,"")</f>
      </c>
      <c r="BK23" s="375">
        <f>IF(BK$8=$E23,$AB23,"")</f>
      </c>
      <c r="BL23" s="375">
        <f>IF(BL$8=$E23,$AB23,"")</f>
      </c>
      <c r="BM23" s="257"/>
      <c r="BO23" s="257"/>
      <c r="BP23" s="376">
        <f>IF(BP$8=$E23,$AD23,"")</f>
      </c>
      <c r="BQ23" s="376">
        <f>IF(BQ$8=$E23,$AD23,"")</f>
      </c>
      <c r="BR23" s="376">
        <f>IF(BR$8=$E23,$AD23,"")</f>
      </c>
      <c r="BS23" s="376">
        <f>IF(BS$8=$E23,$AD23,"")</f>
      </c>
      <c r="BT23" s="376">
        <f>IF(BT$8=$E23,$AD23,"")</f>
      </c>
      <c r="BU23" s="376">
        <f>IF(BU$8=$E23,$AD23,"")</f>
      </c>
      <c r="BV23" s="376">
        <f>IF(BV$8=$E23,$AD23,"")</f>
      </c>
      <c r="BW23" s="376">
        <f>IF(BW$8=$E23,$AD23,"")</f>
      </c>
      <c r="BX23" s="376">
        <f>IF(BX$8=$E23,$AD23,"")</f>
      </c>
      <c r="BY23" s="376">
        <f>IF(BY$8=$E23,$AD23,"")</f>
      </c>
      <c r="BZ23" s="376">
        <f>IF(BZ$8=$E23,$AD23,"")</f>
      </c>
      <c r="CA23" s="376">
        <f>IF(CA$8=$E23,$AD23,"")</f>
      </c>
      <c r="CB23" s="376">
        <f>IF(CB$8=$E23,$AD23,"")</f>
      </c>
      <c r="CC23" s="376">
        <f>IF(CC$8=$E23,$AD23,"")</f>
      </c>
      <c r="CD23" s="376">
        <f>IF(CD$8=$E23,$AD23,"")</f>
      </c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</row>
    <row r="24" spans="2:82" ht="12.75">
      <c r="B24" s="656">
        <v>4</v>
      </c>
      <c r="C24" s="656">
        <v>1</v>
      </c>
      <c r="D24" s="267"/>
      <c r="E24" s="350"/>
      <c r="F24" s="351"/>
      <c r="G24" s="267"/>
      <c r="H24" s="657" t="s">
        <v>528</v>
      </c>
      <c r="I24" s="267"/>
      <c r="J24" s="658" t="s">
        <v>529</v>
      </c>
      <c r="K24" s="267"/>
      <c r="L24" s="168">
        <v>968</v>
      </c>
      <c r="M24" s="396" t="s">
        <v>433</v>
      </c>
      <c r="N24" s="382" t="s">
        <v>530</v>
      </c>
      <c r="O24" s="644" t="s">
        <v>531</v>
      </c>
      <c r="P24" s="643" t="s">
        <v>532</v>
      </c>
      <c r="Q24" s="267"/>
      <c r="R24" s="359" t="s">
        <v>434</v>
      </c>
      <c r="S24" s="267"/>
      <c r="T24" s="360">
        <v>74</v>
      </c>
      <c r="U24" s="383">
        <v>6177</v>
      </c>
      <c r="V24" s="384">
        <v>24</v>
      </c>
      <c r="W24" s="358">
        <f>U24*V24/9</f>
        <v>16472</v>
      </c>
      <c r="X24" s="645"/>
      <c r="Y24" s="646">
        <f>ROUND(U24/5280,1)</f>
        <v>1.2</v>
      </c>
      <c r="Z24" s="646"/>
      <c r="AA24" s="361"/>
      <c r="AB24" s="362">
        <f>W24*0.45/240</f>
        <v>30.885</v>
      </c>
      <c r="AC24" s="363"/>
      <c r="AD24" s="364">
        <f>W24*30/2000</f>
        <v>247.08</v>
      </c>
      <c r="AE24" s="1"/>
      <c r="AF24" s="365">
        <f>W24*0.13/240</f>
        <v>8.922333333333334</v>
      </c>
      <c r="AG24" s="366"/>
      <c r="AH24" s="343">
        <f>ROUND((AB24*$J$59)+(AD24*$J$61)+(AF24*$J$63),0)</f>
        <v>25113</v>
      </c>
      <c r="AI24" s="378">
        <f t="shared" si="1"/>
        <v>330901</v>
      </c>
      <c r="AJ24" s="378"/>
      <c r="AK24" s="369"/>
      <c r="AL24" s="369"/>
      <c r="AM24" s="370"/>
      <c r="AN24" s="369"/>
      <c r="AO24" s="369"/>
      <c r="AP24" s="371"/>
      <c r="AQ24" s="391"/>
      <c r="AR24" s="392"/>
      <c r="AS24" s="253"/>
      <c r="AT24" s="374"/>
      <c r="AU24" s="257"/>
      <c r="AV24" s="257"/>
      <c r="AW24" s="257"/>
      <c r="AX24" s="375">
        <f>IF(AX$8=$E24,$AB24,"")</f>
      </c>
      <c r="AY24" s="375">
        <f>IF(AY$8=$E24,$AB24,"")</f>
      </c>
      <c r="AZ24" s="375">
        <f>IF(AZ$8=$E24,$AB24,"")</f>
      </c>
      <c r="BA24" s="375">
        <f>IF(BA$8=$E24,$AB24,"")</f>
      </c>
      <c r="BB24" s="375">
        <f>IF(BB$8=$E24,$AB24,"")</f>
      </c>
      <c r="BC24" s="375">
        <f>IF(BC$8=$E24,$AB24,"")</f>
      </c>
      <c r="BD24" s="375">
        <f>IF(BD$8=$E24,$AB24,"")</f>
      </c>
      <c r="BE24" s="375">
        <f>IF(BE$8=$E24,$AB24,"")</f>
      </c>
      <c r="BF24" s="375">
        <f>IF(BF$8=$E24,$AB24,"")</f>
      </c>
      <c r="BG24" s="375">
        <f>IF(BG$8=$E24,$AB24,"")</f>
      </c>
      <c r="BH24" s="375">
        <f>IF(BH$8=$E24,$AB24,"")</f>
      </c>
      <c r="BI24" s="375">
        <f>IF(BI$8=$E24,$AB24,"")</f>
      </c>
      <c r="BJ24" s="375">
        <f>IF(BJ$8=$E24,$AB24,"")</f>
      </c>
      <c r="BK24" s="375">
        <f>IF(BK$8=$E24,$AB24,"")</f>
      </c>
      <c r="BL24" s="375">
        <f>IF(BL$8=$E24,$AB24,"")</f>
      </c>
      <c r="BM24" s="257"/>
      <c r="BP24" s="376">
        <f>IF(BP$8=$E24,$AD24,"")</f>
      </c>
      <c r="BQ24" s="376">
        <f>IF(BQ$8=$E24,$AD24,"")</f>
      </c>
      <c r="BR24" s="376">
        <f>IF(BR$8=$E24,$AD24,"")</f>
      </c>
      <c r="BS24" s="376">
        <f>IF(BS$8=$E24,$AD24,"")</f>
      </c>
      <c r="BT24" s="376">
        <f>IF(BT$8=$E24,$AD24,"")</f>
      </c>
      <c r="BU24" s="376">
        <f>IF(BU$8=$E24,$AD24,"")</f>
      </c>
      <c r="BV24" s="376">
        <f>IF(BV$8=$E24,$AD24,"")</f>
      </c>
      <c r="BW24" s="376">
        <f>IF(BW$8=$E24,$AD24,"")</f>
      </c>
      <c r="BX24" s="376">
        <f>IF(BX$8=$E24,$AD24,"")</f>
      </c>
      <c r="BY24" s="376">
        <f>IF(BY$8=$E24,$AD24,"")</f>
      </c>
      <c r="BZ24" s="376">
        <f>IF(BZ$8=$E24,$AD24,"")</f>
      </c>
      <c r="CA24" s="376">
        <f>IF(CA$8=$E24,$AD24,"")</f>
      </c>
      <c r="CB24" s="376">
        <f>IF(CB$8=$E24,$AD24,"")</f>
      </c>
      <c r="CC24" s="376">
        <f>IF(CC$8=$E24,$AD24,"")</f>
      </c>
      <c r="CD24" s="376">
        <f>IF(CD$8=$E24,$AD24,"")</f>
      </c>
    </row>
    <row r="25" spans="2:92" ht="12.75" customHeight="1">
      <c r="B25" s="656">
        <v>4</v>
      </c>
      <c r="C25" s="656">
        <v>2</v>
      </c>
      <c r="D25" s="267"/>
      <c r="E25" s="379"/>
      <c r="F25" s="380"/>
      <c r="G25" s="267"/>
      <c r="H25" s="657" t="s">
        <v>528</v>
      </c>
      <c r="I25" s="267"/>
      <c r="J25" s="658" t="s">
        <v>529</v>
      </c>
      <c r="K25" s="267"/>
      <c r="L25" s="369">
        <v>968</v>
      </c>
      <c r="M25" s="377" t="s">
        <v>429</v>
      </c>
      <c r="N25" s="382" t="s">
        <v>530</v>
      </c>
      <c r="O25" s="643" t="s">
        <v>532</v>
      </c>
      <c r="P25" s="644" t="s">
        <v>533</v>
      </c>
      <c r="Q25" s="267"/>
      <c r="R25" s="359" t="s">
        <v>434</v>
      </c>
      <c r="S25" s="267"/>
      <c r="T25" s="652">
        <v>86</v>
      </c>
      <c r="U25" s="356">
        <v>4152</v>
      </c>
      <c r="V25" s="357">
        <v>20</v>
      </c>
      <c r="W25" s="358">
        <f>U25*V25/9</f>
        <v>9226.666666666666</v>
      </c>
      <c r="X25" s="645"/>
      <c r="Y25" s="646">
        <f>ROUND(U25/5280,1)</f>
        <v>0.8</v>
      </c>
      <c r="Z25" s="646"/>
      <c r="AA25" s="361"/>
      <c r="AB25" s="362">
        <f>W25*0.45/240</f>
        <v>17.3</v>
      </c>
      <c r="AC25" s="363"/>
      <c r="AD25" s="364">
        <f>W25*30/2000</f>
        <v>138.4</v>
      </c>
      <c r="AE25" s="364"/>
      <c r="AF25" s="365">
        <f>W25*0.13/240</f>
        <v>4.997777777777778</v>
      </c>
      <c r="AG25" s="388"/>
      <c r="AH25" s="343">
        <f>ROUND((AB25*$J$59)+(AD25*$J$61)+(AF25*$J$63),0)</f>
        <v>14067</v>
      </c>
      <c r="AI25" s="378">
        <f t="shared" si="1"/>
        <v>344968</v>
      </c>
      <c r="AJ25" s="389"/>
      <c r="AK25" s="253"/>
      <c r="AL25" s="253"/>
      <c r="AM25" s="370"/>
      <c r="AN25" s="253"/>
      <c r="AO25" s="253"/>
      <c r="AP25" s="390"/>
      <c r="AQ25" s="391"/>
      <c r="AR25" s="392"/>
      <c r="AS25" s="253"/>
      <c r="AT25" s="374"/>
      <c r="AU25" s="257"/>
      <c r="AV25" s="257"/>
      <c r="AW25" s="257"/>
      <c r="AX25" s="375">
        <f>IF(AX$8=$E25,$AB25,"")</f>
      </c>
      <c r="AY25" s="375">
        <f>IF(AY$8=$E25,$AB25,"")</f>
      </c>
      <c r="AZ25" s="375">
        <f>IF(AZ$8=$E25,$AB25,"")</f>
      </c>
      <c r="BA25" s="375">
        <f>IF(BA$8=$E25,$AB25,"")</f>
      </c>
      <c r="BB25" s="375">
        <f>IF(BB$8=$E25,$AB25,"")</f>
      </c>
      <c r="BC25" s="375">
        <f>IF(BC$8=$E25,$AB25,"")</f>
      </c>
      <c r="BD25" s="375">
        <f>IF(BD$8=$E25,$AB25,"")</f>
      </c>
      <c r="BE25" s="375">
        <f>IF(BE$8=$E25,$AB25,"")</f>
      </c>
      <c r="BF25" s="375">
        <f>IF(BF$8=$E25,$AB25,"")</f>
      </c>
      <c r="BG25" s="375">
        <f>IF(BG$8=$E25,$AB25,"")</f>
      </c>
      <c r="BH25" s="375">
        <f>IF(BH$8=$E25,$AB25,"")</f>
      </c>
      <c r="BI25" s="375">
        <f>IF(BI$8=$E25,$AB25,"")</f>
      </c>
      <c r="BJ25" s="375">
        <f>IF(BJ$8=$E25,$AB25,"")</f>
      </c>
      <c r="BK25" s="375">
        <f>IF(BK$8=$E25,$AB25,"")</f>
      </c>
      <c r="BL25" s="375">
        <f>IF(BL$8=$E25,$AB25,"")</f>
      </c>
      <c r="BM25" s="257"/>
      <c r="BO25" s="257"/>
      <c r="BP25" s="376">
        <f>IF(BP$8=$E25,$AD25,"")</f>
      </c>
      <c r="BQ25" s="376">
        <f>IF(BQ$8=$E25,$AD25,"")</f>
      </c>
      <c r="BR25" s="376">
        <f>IF(BR$8=$E25,$AD25,"")</f>
      </c>
      <c r="BS25" s="376">
        <f>IF(BS$8=$E25,$AD25,"")</f>
      </c>
      <c r="BT25" s="376">
        <f>IF(BT$8=$E25,$AD25,"")</f>
      </c>
      <c r="BU25" s="376">
        <f>IF(BU$8=$E25,$AD25,"")</f>
      </c>
      <c r="BV25" s="376">
        <f>IF(BV$8=$E25,$AD25,"")</f>
      </c>
      <c r="BW25" s="376">
        <f>IF(BW$8=$E25,$AD25,"")</f>
      </c>
      <c r="BX25" s="376">
        <f>IF(BX$8=$E25,$AD25,"")</f>
      </c>
      <c r="BY25" s="376">
        <f>IF(BY$8=$E25,$AD25,"")</f>
      </c>
      <c r="BZ25" s="376">
        <f>IF(BZ$8=$E25,$AD25,"")</f>
      </c>
      <c r="CA25" s="376">
        <f>IF(CA$8=$E25,$AD25,"")</f>
      </c>
      <c r="CB25" s="376">
        <f>IF(CB$8=$E25,$AD25,"")</f>
      </c>
      <c r="CC25" s="376">
        <f>IF(CC$8=$E25,$AD25,"")</f>
      </c>
      <c r="CD25" s="376">
        <f>IF(CD$8=$E25,$AD25,"")</f>
      </c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</row>
    <row r="26" spans="2:82" ht="12.75">
      <c r="B26" s="655">
        <v>5</v>
      </c>
      <c r="C26" s="655">
        <v>1</v>
      </c>
      <c r="D26" s="267"/>
      <c r="E26" s="350"/>
      <c r="F26" s="351"/>
      <c r="G26" s="267"/>
      <c r="H26" s="655" t="s">
        <v>526</v>
      </c>
      <c r="I26" s="267"/>
      <c r="J26" s="659" t="s">
        <v>534</v>
      </c>
      <c r="K26" s="267"/>
      <c r="L26" s="369">
        <v>41</v>
      </c>
      <c r="M26" s="377" t="s">
        <v>433</v>
      </c>
      <c r="N26" s="354" t="s">
        <v>535</v>
      </c>
      <c r="O26" s="644" t="s">
        <v>536</v>
      </c>
      <c r="P26" s="644" t="s">
        <v>537</v>
      </c>
      <c r="Q26" s="267"/>
      <c r="R26" s="359" t="s">
        <v>430</v>
      </c>
      <c r="S26" s="267"/>
      <c r="T26" s="360">
        <v>74</v>
      </c>
      <c r="U26" s="356">
        <v>12830</v>
      </c>
      <c r="V26" s="357">
        <v>20</v>
      </c>
      <c r="W26" s="358">
        <f>U26*V26/9</f>
        <v>28511.11111111111</v>
      </c>
      <c r="X26" s="645"/>
      <c r="Y26" s="646">
        <f>ROUND(U26/5280,1)</f>
        <v>2.4</v>
      </c>
      <c r="Z26" s="646"/>
      <c r="AA26" s="361"/>
      <c r="AB26" s="362">
        <f>W26*0.45/240</f>
        <v>53.458333333333336</v>
      </c>
      <c r="AC26" s="363"/>
      <c r="AD26" s="364">
        <f>W26*30/2000</f>
        <v>427.66666666666663</v>
      </c>
      <c r="AE26" s="364"/>
      <c r="AF26" s="365">
        <f>W26*0.13/240</f>
        <v>15.443518518518518</v>
      </c>
      <c r="AG26" s="388"/>
      <c r="AH26" s="343">
        <f>ROUND((AB26*$J$59)+(AD26*$J$61)+(AF26*$J$63),0)</f>
        <v>43468</v>
      </c>
      <c r="AI26" s="378">
        <f t="shared" si="1"/>
        <v>388436</v>
      </c>
      <c r="AJ26" s="389"/>
      <c r="AK26" s="253"/>
      <c r="AL26" s="253"/>
      <c r="AM26" s="370"/>
      <c r="AN26" s="253"/>
      <c r="AO26" s="253"/>
      <c r="AP26" s="390"/>
      <c r="AQ26" s="391"/>
      <c r="AR26" s="392"/>
      <c r="AS26" s="253"/>
      <c r="AT26" s="374"/>
      <c r="AU26" s="257"/>
      <c r="AV26" s="257"/>
      <c r="AW26" s="257"/>
      <c r="AX26" s="375">
        <f>IF(AX$8=$E26,$AB26,"")</f>
      </c>
      <c r="AY26" s="375">
        <f>IF(AY$8=$E26,$AB26,"")</f>
      </c>
      <c r="AZ26" s="375">
        <f>IF(AZ$8=$E26,$AB26,"")</f>
      </c>
      <c r="BA26" s="375">
        <f>IF(BA$8=$E26,$AB26,"")</f>
      </c>
      <c r="BB26" s="375">
        <f>IF(BB$8=$E26,$AB26,"")</f>
      </c>
      <c r="BC26" s="375">
        <f>IF(BC$8=$E26,$AB26,"")</f>
      </c>
      <c r="BD26" s="375">
        <f>IF(BD$8=$E26,$AB26,"")</f>
      </c>
      <c r="BE26" s="375">
        <f>IF(BE$8=$E26,$AB26,"")</f>
      </c>
      <c r="BF26" s="375">
        <f>IF(BF$8=$E26,$AB26,"")</f>
      </c>
      <c r="BG26" s="375">
        <f>IF(BG$8=$E26,$AB26,"")</f>
      </c>
      <c r="BH26" s="375">
        <f>IF(BH$8=$E26,$AB26,"")</f>
      </c>
      <c r="BI26" s="375">
        <f>IF(BI$8=$E26,$AB26,"")</f>
      </c>
      <c r="BJ26" s="375">
        <f>IF(BJ$8=$E26,$AB26,"")</f>
      </c>
      <c r="BK26" s="375">
        <f>IF(BK$8=$E26,$AB26,"")</f>
      </c>
      <c r="BL26" s="375">
        <f>IF(BL$8=$E26,$AB26,"")</f>
      </c>
      <c r="BM26" s="257"/>
      <c r="BP26" s="376">
        <f>IF(BP$8=$E26,$AD26,"")</f>
      </c>
      <c r="BQ26" s="376">
        <f>IF(BQ$8=$E26,$AD26,"")</f>
      </c>
      <c r="BR26" s="376">
        <f>IF(BR$8=$E26,$AD26,"")</f>
      </c>
      <c r="BS26" s="376">
        <f>IF(BS$8=$E26,$AD26,"")</f>
      </c>
      <c r="BT26" s="376">
        <f>IF(BT$8=$E26,$AD26,"")</f>
      </c>
      <c r="BU26" s="376">
        <f>IF(BU$8=$E26,$AD26,"")</f>
      </c>
      <c r="BV26" s="376">
        <f>IF(BV$8=$E26,$AD26,"")</f>
      </c>
      <c r="BW26" s="376">
        <f>IF(BW$8=$E26,$AD26,"")</f>
      </c>
      <c r="BX26" s="376">
        <f>IF(BX$8=$E26,$AD26,"")</f>
      </c>
      <c r="BY26" s="376">
        <f>IF(BY$8=$E26,$AD26,"")</f>
      </c>
      <c r="BZ26" s="376">
        <f>IF(BZ$8=$E26,$AD26,"")</f>
      </c>
      <c r="CA26" s="376">
        <f>IF(CA$8=$E26,$AD26,"")</f>
      </c>
      <c r="CB26" s="376">
        <f>IF(CB$8=$E26,$AD26,"")</f>
      </c>
      <c r="CC26" s="376">
        <f>IF(CC$8=$E26,$AD26,"")</f>
      </c>
      <c r="CD26" s="376">
        <f>IF(CD$8=$E26,$AD26,"")</f>
      </c>
    </row>
    <row r="27" spans="2:82" ht="12.75">
      <c r="B27" s="660">
        <v>6</v>
      </c>
      <c r="C27" s="660">
        <v>1</v>
      </c>
      <c r="D27" s="267"/>
      <c r="E27" s="379"/>
      <c r="F27" s="380"/>
      <c r="G27" s="267"/>
      <c r="H27" s="649" t="s">
        <v>510</v>
      </c>
      <c r="I27" s="267"/>
      <c r="J27" s="642" t="s">
        <v>504</v>
      </c>
      <c r="K27" s="267"/>
      <c r="L27" s="253">
        <v>67</v>
      </c>
      <c r="M27" s="381" t="s">
        <v>433</v>
      </c>
      <c r="N27" s="382" t="s">
        <v>538</v>
      </c>
      <c r="O27" s="643" t="s">
        <v>539</v>
      </c>
      <c r="P27" s="643" t="s">
        <v>520</v>
      </c>
      <c r="Q27" s="267"/>
      <c r="R27" s="359" t="s">
        <v>430</v>
      </c>
      <c r="S27" s="267"/>
      <c r="T27" s="360">
        <v>75</v>
      </c>
      <c r="U27" s="383">
        <v>10264</v>
      </c>
      <c r="V27" s="384">
        <v>21</v>
      </c>
      <c r="W27" s="358">
        <f>U27*V27/9</f>
        <v>23949.333333333332</v>
      </c>
      <c r="X27" s="645"/>
      <c r="Y27" s="646">
        <f>ROUND(U27/5280,1)</f>
        <v>1.9</v>
      </c>
      <c r="Z27" s="646"/>
      <c r="AA27" s="361"/>
      <c r="AB27" s="362">
        <f>W27*0.45/240</f>
        <v>44.904999999999994</v>
      </c>
      <c r="AC27" s="363"/>
      <c r="AD27" s="364">
        <f>W27*30/2000</f>
        <v>359.24</v>
      </c>
      <c r="AE27" s="364"/>
      <c r="AF27" s="365">
        <f>W27*0.13/240</f>
        <v>12.972555555555555</v>
      </c>
      <c r="AG27" s="388"/>
      <c r="AH27" s="343">
        <f>ROUND((AB27*$J$59)+(AD27*$J$61)+(AF27*$J$63),0)</f>
        <v>36513</v>
      </c>
      <c r="AI27" s="378">
        <f t="shared" si="1"/>
        <v>424949</v>
      </c>
      <c r="AJ27" s="389"/>
      <c r="AK27" s="253"/>
      <c r="AL27" s="253"/>
      <c r="AM27" s="370"/>
      <c r="AN27" s="253"/>
      <c r="AO27" s="253"/>
      <c r="AP27" s="390"/>
      <c r="AQ27" s="391"/>
      <c r="AR27" s="392"/>
      <c r="AS27" s="253"/>
      <c r="AT27" s="374"/>
      <c r="AU27" s="257"/>
      <c r="AV27" s="257"/>
      <c r="AW27" s="257"/>
      <c r="AX27" s="375">
        <f>IF(AX$8=$E27,$AB27,"")</f>
      </c>
      <c r="AY27" s="375">
        <f>IF(AY$8=$E27,$AB27,"")</f>
      </c>
      <c r="AZ27" s="375">
        <f>IF(AZ$8=$E27,$AB27,"")</f>
      </c>
      <c r="BA27" s="375">
        <f>IF(BA$8=$E27,$AB27,"")</f>
      </c>
      <c r="BB27" s="375">
        <f>IF(BB$8=$E27,$AB27,"")</f>
      </c>
      <c r="BC27" s="375">
        <f>IF(BC$8=$E27,$AB27,"")</f>
      </c>
      <c r="BD27" s="375">
        <f>IF(BD$8=$E27,$AB27,"")</f>
      </c>
      <c r="BE27" s="375">
        <f>IF(BE$8=$E27,$AB27,"")</f>
      </c>
      <c r="BF27" s="375">
        <f>IF(BF$8=$E27,$AB27,"")</f>
      </c>
      <c r="BG27" s="375">
        <f>IF(BG$8=$E27,$AB27,"")</f>
      </c>
      <c r="BH27" s="375">
        <f>IF(BH$8=$E27,$AB27,"")</f>
      </c>
      <c r="BI27" s="375">
        <f>IF(BI$8=$E27,$AB27,"")</f>
      </c>
      <c r="BJ27" s="375">
        <f>IF(BJ$8=$E27,$AB27,"")</f>
      </c>
      <c r="BK27" s="375">
        <f>IF(BK$8=$E27,$AB27,"")</f>
      </c>
      <c r="BL27" s="375">
        <f>IF(BL$8=$E27,$AB27,"")</f>
      </c>
      <c r="BM27" s="257"/>
      <c r="BP27" s="376">
        <f>IF(BP$8=$E27,$AD27,"")</f>
      </c>
      <c r="BQ27" s="376">
        <f>IF(BQ$8=$E27,$AD27,"")</f>
      </c>
      <c r="BR27" s="376">
        <f>IF(BR$8=$E27,$AD27,"")</f>
      </c>
      <c r="BS27" s="376">
        <f>IF(BS$8=$E27,$AD27,"")</f>
      </c>
      <c r="BT27" s="376">
        <f>IF(BT$8=$E27,$AD27,"")</f>
      </c>
      <c r="BU27" s="376">
        <f>IF(BU$8=$E27,$AD27,"")</f>
      </c>
      <c r="BV27" s="376">
        <f>IF(BV$8=$E27,$AD27,"")</f>
      </c>
      <c r="BW27" s="376">
        <f>IF(BW$8=$E27,$AD27,"")</f>
      </c>
      <c r="BX27" s="376">
        <f>IF(BX$8=$E27,$AD27,"")</f>
      </c>
      <c r="BY27" s="376">
        <f>IF(BY$8=$E27,$AD27,"")</f>
      </c>
      <c r="BZ27" s="376">
        <f>IF(BZ$8=$E27,$AD27,"")</f>
      </c>
      <c r="CA27" s="376">
        <f>IF(CA$8=$E27,$AD27,"")</f>
      </c>
      <c r="CB27" s="376">
        <f>IF(CB$8=$E27,$AD27,"")</f>
      </c>
      <c r="CC27" s="376">
        <f>IF(CC$8=$E27,$AD27,"")</f>
      </c>
      <c r="CD27" s="376">
        <f>IF(CD$8=$E27,$AD27,"")</f>
      </c>
    </row>
    <row r="28" spans="2:83" ht="12.75" customHeight="1">
      <c r="B28" s="661">
        <v>7</v>
      </c>
      <c r="C28" s="661">
        <v>1</v>
      </c>
      <c r="D28" s="267"/>
      <c r="E28" s="350"/>
      <c r="F28" s="351"/>
      <c r="G28" s="267"/>
      <c r="H28" s="650" t="s">
        <v>514</v>
      </c>
      <c r="I28" s="267"/>
      <c r="J28" s="651" t="s">
        <v>517</v>
      </c>
      <c r="K28" s="267"/>
      <c r="L28" s="369">
        <v>948</v>
      </c>
      <c r="M28" s="377" t="s">
        <v>433</v>
      </c>
      <c r="N28" s="382" t="s">
        <v>540</v>
      </c>
      <c r="O28" s="643" t="s">
        <v>539</v>
      </c>
      <c r="P28" s="644" t="s">
        <v>541</v>
      </c>
      <c r="Q28" s="267"/>
      <c r="R28" s="359" t="s">
        <v>434</v>
      </c>
      <c r="S28" s="267"/>
      <c r="T28" s="360">
        <v>77</v>
      </c>
      <c r="U28" s="356">
        <v>2818</v>
      </c>
      <c r="V28" s="357">
        <v>20</v>
      </c>
      <c r="W28" s="358">
        <f>U28*V28/9</f>
        <v>6262.222222222223</v>
      </c>
      <c r="X28" s="645"/>
      <c r="Y28" s="646">
        <f>ROUND(U28/5280,1)</f>
        <v>0.5</v>
      </c>
      <c r="Z28" s="646"/>
      <c r="AA28" s="361"/>
      <c r="AB28" s="362">
        <f>W28*0.45/240</f>
        <v>11.741666666666669</v>
      </c>
      <c r="AC28" s="363"/>
      <c r="AD28" s="364">
        <f>W28*30/2000</f>
        <v>93.93333333333334</v>
      </c>
      <c r="AE28" s="364"/>
      <c r="AF28" s="365">
        <f>W28*0.13/240</f>
        <v>3.392037037037037</v>
      </c>
      <c r="AG28" s="388"/>
      <c r="AH28" s="343">
        <f>ROUND((AB28*$J$59)+(AD28*$J$61)+(AF28*$J$63),0)</f>
        <v>9547</v>
      </c>
      <c r="AI28" s="378">
        <f t="shared" si="1"/>
        <v>434496</v>
      </c>
      <c r="AJ28" s="389"/>
      <c r="AK28" s="253"/>
      <c r="AL28" s="253"/>
      <c r="AM28" s="370"/>
      <c r="AN28" s="253"/>
      <c r="AO28" s="253"/>
      <c r="AP28" s="390"/>
      <c r="AQ28" s="391"/>
      <c r="AR28" s="392"/>
      <c r="AS28" s="253"/>
      <c r="AT28" s="374"/>
      <c r="AU28" s="257"/>
      <c r="AV28" s="257"/>
      <c r="AW28" s="257"/>
      <c r="AX28" s="375">
        <f>IF(AX$8=$E28,$AB28,"")</f>
      </c>
      <c r="AY28" s="375">
        <f>IF(AY$8=$E28,$AB28,"")</f>
      </c>
      <c r="AZ28" s="375">
        <f>IF(AZ$8=$E28,$AB28,"")</f>
      </c>
      <c r="BA28" s="375">
        <f>IF(BA$8=$E28,$AB28,"")</f>
      </c>
      <c r="BB28" s="375">
        <f>IF(BB$8=$E28,$AB28,"")</f>
      </c>
      <c r="BC28" s="375">
        <f>IF(BC$8=$E28,$AB28,"")</f>
      </c>
      <c r="BD28" s="375">
        <f>IF(BD$8=$E28,$AB28,"")</f>
      </c>
      <c r="BE28" s="375">
        <f>IF(BE$8=$E28,$AB28,"")</f>
      </c>
      <c r="BF28" s="375">
        <f>IF(BF$8=$E28,$AB28,"")</f>
      </c>
      <c r="BG28" s="375">
        <f>IF(BG$8=$E28,$AB28,"")</f>
      </c>
      <c r="BH28" s="375">
        <f>IF(BH$8=$E28,$AB28,"")</f>
      </c>
      <c r="BI28" s="375">
        <f>IF(BI$8=$E28,$AB28,"")</f>
      </c>
      <c r="BJ28" s="375">
        <f>IF(BJ$8=$E28,$AB28,"")</f>
      </c>
      <c r="BK28" s="375">
        <f>IF(BK$8=$E28,$AB28,"")</f>
      </c>
      <c r="BL28" s="375">
        <f>IF(BL$8=$E28,$AB28,"")</f>
      </c>
      <c r="BM28" s="257"/>
      <c r="BO28" s="394"/>
      <c r="BP28" s="395">
        <f>IF(BP$8=$E28,$AD28,"")</f>
      </c>
      <c r="BQ28" s="395">
        <f>IF(BQ$8=$E28,$AD28,"")</f>
      </c>
      <c r="BR28" s="395">
        <f>IF(BR$8=$E28,$AD28,"")</f>
      </c>
      <c r="BS28" s="395">
        <f>IF(BS$8=$E28,$AD28,"")</f>
      </c>
      <c r="BT28" s="395">
        <f>IF(BT$8=$E28,$AD28,"")</f>
      </c>
      <c r="BU28" s="395">
        <f>IF(BU$8=$E28,$AD28,"")</f>
      </c>
      <c r="BV28" s="395">
        <f>IF(BV$8=$E28,$AD28,"")</f>
      </c>
      <c r="BW28" s="395">
        <f>IF(BW$8=$E28,$AD28,"")</f>
      </c>
      <c r="BX28" s="395">
        <f>IF(BX$8=$E28,$AD28,"")</f>
      </c>
      <c r="BY28" s="395">
        <f>IF(BY$8=$E28,$AD28,"")</f>
      </c>
      <c r="BZ28" s="395">
        <f>IF(BZ$8=$E28,$AD28,"")</f>
      </c>
      <c r="CA28" s="395">
        <f>IF(CA$8=$E28,$AD28,"")</f>
      </c>
      <c r="CB28" s="395">
        <f>IF(CB$8=$E28,$AD28,"")</f>
      </c>
      <c r="CC28" s="395">
        <f>IF(CC$8=$E28,$AD28,"")</f>
      </c>
      <c r="CD28" s="395">
        <f>IF(CD$8=$E28,$AD28,"")</f>
      </c>
      <c r="CE28" s="394"/>
    </row>
    <row r="29" spans="2:92" s="400" customFormat="1" ht="12.75">
      <c r="B29" s="662">
        <v>8</v>
      </c>
      <c r="C29" s="662">
        <v>1</v>
      </c>
      <c r="D29" s="267"/>
      <c r="E29" s="379"/>
      <c r="F29" s="380"/>
      <c r="G29" s="267"/>
      <c r="H29" s="662" t="s">
        <v>542</v>
      </c>
      <c r="I29" s="267"/>
      <c r="J29" s="658" t="s">
        <v>529</v>
      </c>
      <c r="K29" s="267"/>
      <c r="L29" s="397">
        <v>84</v>
      </c>
      <c r="M29" s="398" t="s">
        <v>433</v>
      </c>
      <c r="N29" s="399" t="s">
        <v>543</v>
      </c>
      <c r="O29" s="663" t="s">
        <v>544</v>
      </c>
      <c r="P29" s="663" t="s">
        <v>531</v>
      </c>
      <c r="Q29" s="267"/>
      <c r="R29" s="386" t="s">
        <v>434</v>
      </c>
      <c r="S29" s="267"/>
      <c r="T29" s="360">
        <v>72</v>
      </c>
      <c r="U29" s="356">
        <v>5280</v>
      </c>
      <c r="V29" s="357">
        <v>22</v>
      </c>
      <c r="W29" s="358">
        <f>U29*V29/9</f>
        <v>12906.666666666666</v>
      </c>
      <c r="X29" s="645"/>
      <c r="Y29" s="646">
        <f>ROUND(U29/5280,1)</f>
        <v>1</v>
      </c>
      <c r="Z29" s="646"/>
      <c r="AA29" s="361"/>
      <c r="AB29" s="362">
        <f>W29*0.45/240</f>
        <v>24.2</v>
      </c>
      <c r="AC29" s="363"/>
      <c r="AD29" s="364">
        <f>W29*30/2000</f>
        <v>193.6</v>
      </c>
      <c r="AE29" s="364"/>
      <c r="AF29" s="365">
        <f>W29*0.13/240</f>
        <v>6.991111111111111</v>
      </c>
      <c r="AG29" s="388"/>
      <c r="AH29" s="343">
        <f>ROUND((AB29*$J$59)+(AD29*$J$61)+(AF29*$J$63),0)</f>
        <v>19677</v>
      </c>
      <c r="AI29" s="378">
        <f t="shared" si="1"/>
        <v>454173</v>
      </c>
      <c r="AJ29" s="389"/>
      <c r="AK29" s="253"/>
      <c r="AL29" s="253"/>
      <c r="AM29" s="370"/>
      <c r="AN29" s="253"/>
      <c r="AO29" s="253"/>
      <c r="AP29" s="390"/>
      <c r="AQ29" s="391"/>
      <c r="AR29" s="392"/>
      <c r="AS29" s="253"/>
      <c r="AT29" s="374"/>
      <c r="AU29" s="257"/>
      <c r="AV29" s="257"/>
      <c r="AW29" s="257"/>
      <c r="AX29" s="375">
        <f>IF(AX$8=$E29,$AB29,"")</f>
      </c>
      <c r="AY29" s="375">
        <f>IF(AY$8=$E29,$AB29,"")</f>
      </c>
      <c r="AZ29" s="375">
        <f>IF(AZ$8=$E29,$AB29,"")</f>
      </c>
      <c r="BA29" s="375">
        <f>IF(BA$8=$E29,$AB29,"")</f>
      </c>
      <c r="BB29" s="375">
        <f>IF(BB$8=$E29,$AB29,"")</f>
      </c>
      <c r="BC29" s="375">
        <f>IF(BC$8=$E29,$AB29,"")</f>
      </c>
      <c r="BD29" s="375">
        <f>IF(BD$8=$E29,$AB29,"")</f>
      </c>
      <c r="BE29" s="375">
        <f>IF(BE$8=$E29,$AB29,"")</f>
      </c>
      <c r="BF29" s="375">
        <f>IF(BF$8=$E29,$AB29,"")</f>
      </c>
      <c r="BG29" s="375">
        <f>IF(BG$8=$E29,$AB29,"")</f>
      </c>
      <c r="BH29" s="375">
        <f>IF(BH$8=$E29,$AB29,"")</f>
      </c>
      <c r="BI29" s="375">
        <f>IF(BI$8=$E29,$AB29,"")</f>
      </c>
      <c r="BJ29" s="375">
        <f>IF(BJ$8=$E29,$AB29,"")</f>
      </c>
      <c r="BK29" s="375">
        <f>IF(BK$8=$E29,$AB29,"")</f>
      </c>
      <c r="BL29" s="375">
        <f>IF(BL$8=$E29,$AB29,"")</f>
      </c>
      <c r="BM29" s="257"/>
      <c r="BN29" s="257"/>
      <c r="BO29" s="257"/>
      <c r="BP29" s="376">
        <f>IF(BP$8=$E29,$AD29,"")</f>
      </c>
      <c r="BQ29" s="376">
        <f>IF(BQ$8=$E29,$AD29,"")</f>
      </c>
      <c r="BR29" s="376">
        <f>IF(BR$8=$E29,$AD29,"")</f>
      </c>
      <c r="BS29" s="376">
        <f>IF(BS$8=$E29,$AD29,"")</f>
      </c>
      <c r="BT29" s="376">
        <f>IF(BT$8=$E29,$AD29,"")</f>
      </c>
      <c r="BU29" s="376">
        <f>IF(BU$8=$E29,$AD29,"")</f>
      </c>
      <c r="BV29" s="376">
        <f>IF(BV$8=$E29,$AD29,"")</f>
      </c>
      <c r="BW29" s="376">
        <f>IF(BW$8=$E29,$AD29,"")</f>
      </c>
      <c r="BX29" s="376">
        <f>IF(BX$8=$E29,$AD29,"")</f>
      </c>
      <c r="BY29" s="376">
        <f>IF(BY$8=$E29,$AD29,"")</f>
      </c>
      <c r="BZ29" s="376">
        <f>IF(BZ$8=$E29,$AD29,"")</f>
      </c>
      <c r="CA29" s="376">
        <f>IF(CA$8=$E29,$AD29,"")</f>
      </c>
      <c r="CB29" s="376">
        <f>IF(CB$8=$E29,$AD29,"")</f>
      </c>
      <c r="CC29" s="376">
        <f>IF(CC$8=$E29,$AD29,"")</f>
      </c>
      <c r="CD29" s="376">
        <f>IF(CD$8=$E29,$AD29,"")</f>
      </c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</row>
    <row r="30" spans="2:83" ht="12.75">
      <c r="B30" s="662">
        <v>8</v>
      </c>
      <c r="C30" s="662">
        <v>2</v>
      </c>
      <c r="D30" s="267"/>
      <c r="E30" s="402">
        <v>1</v>
      </c>
      <c r="F30" s="403">
        <v>1</v>
      </c>
      <c r="G30" s="267"/>
      <c r="H30" s="662" t="s">
        <v>542</v>
      </c>
      <c r="I30" s="267"/>
      <c r="J30" s="658" t="s">
        <v>529</v>
      </c>
      <c r="K30" s="267"/>
      <c r="L30" s="168">
        <v>31</v>
      </c>
      <c r="M30" s="398" t="s">
        <v>545</v>
      </c>
      <c r="N30" s="382" t="s">
        <v>546</v>
      </c>
      <c r="O30" s="644" t="s">
        <v>531</v>
      </c>
      <c r="P30" s="643" t="s">
        <v>547</v>
      </c>
      <c r="Q30" s="267"/>
      <c r="R30" s="386" t="s">
        <v>434</v>
      </c>
      <c r="S30" s="267"/>
      <c r="T30" s="648">
        <v>65</v>
      </c>
      <c r="U30" s="383">
        <v>8553</v>
      </c>
      <c r="V30" s="384">
        <v>19</v>
      </c>
      <c r="W30" s="358">
        <f>U30*V30/9</f>
        <v>18056.333333333332</v>
      </c>
      <c r="X30" s="645"/>
      <c r="Y30" s="646">
        <f>ROUND(U30/5280,1)</f>
        <v>1.6</v>
      </c>
      <c r="Z30" s="646"/>
      <c r="AA30" s="361"/>
      <c r="AB30" s="362">
        <f>W30*0.45/240</f>
        <v>33.855624999999996</v>
      </c>
      <c r="AC30" s="363"/>
      <c r="AD30" s="364">
        <f>W30*30/2000</f>
        <v>270.845</v>
      </c>
      <c r="AE30" s="364"/>
      <c r="AF30" s="365">
        <f>W30*0.13/240</f>
        <v>9.780513888888889</v>
      </c>
      <c r="AG30" s="388"/>
      <c r="AH30" s="343">
        <f>ROUND((AB30*$J$59)+(AD30*$J$61)+(AF30*$J$63),0)</f>
        <v>27528</v>
      </c>
      <c r="AI30" s="378">
        <f t="shared" si="1"/>
        <v>481701</v>
      </c>
      <c r="AJ30" s="389"/>
      <c r="AK30" s="253"/>
      <c r="AL30" s="253"/>
      <c r="AM30" s="370"/>
      <c r="AN30" s="253"/>
      <c r="AO30" s="253"/>
      <c r="AP30" s="390"/>
      <c r="AQ30" s="391"/>
      <c r="AR30" s="392"/>
      <c r="AS30" s="253"/>
      <c r="AT30" s="374"/>
      <c r="AU30" s="257"/>
      <c r="AV30" s="257"/>
      <c r="AW30" s="257"/>
      <c r="AX30" s="375">
        <f>IF(AX$8=$E30,$AB30,"")</f>
        <v>33.855624999999996</v>
      </c>
      <c r="AY30" s="375">
        <f>IF(AY$8=$E30,$AB30,"")</f>
      </c>
      <c r="AZ30" s="375">
        <f>IF(AZ$8=$E30,$AB30,"")</f>
      </c>
      <c r="BA30" s="375">
        <f>IF(BA$8=$E30,$AB30,"")</f>
      </c>
      <c r="BB30" s="375">
        <f>IF(BB$8=$E30,$AB30,"")</f>
      </c>
      <c r="BC30" s="375">
        <f>IF(BC$8=$E30,$AB30,"")</f>
      </c>
      <c r="BD30" s="375">
        <f>IF(BD$8=$E30,$AB30,"")</f>
      </c>
      <c r="BE30" s="375">
        <f>IF(BE$8=$E30,$AB30,"")</f>
      </c>
      <c r="BF30" s="375">
        <f>IF(BF$8=$E30,$AB30,"")</f>
      </c>
      <c r="BG30" s="375">
        <f>IF(BG$8=$E30,$AB30,"")</f>
      </c>
      <c r="BH30" s="375">
        <f>IF(BH$8=$E30,$AB30,"")</f>
      </c>
      <c r="BI30" s="375">
        <f>IF(BI$8=$E30,$AB30,"")</f>
      </c>
      <c r="BJ30" s="375">
        <f>IF(BJ$8=$E30,$AB30,"")</f>
      </c>
      <c r="BK30" s="375">
        <f>IF(BK$8=$E30,$AB30,"")</f>
      </c>
      <c r="BL30" s="375">
        <f>IF(BL$8=$E30,$AB30,"")</f>
      </c>
      <c r="BM30" s="257"/>
      <c r="BO30" s="394"/>
      <c r="BP30" s="395">
        <f>IF(BP$8=$E30,$AD30,"")</f>
        <v>270.845</v>
      </c>
      <c r="BQ30" s="395">
        <f>IF(BQ$8=$E30,$AD30,"")</f>
      </c>
      <c r="BR30" s="395">
        <f>IF(BR$8=$E30,$AD30,"")</f>
      </c>
      <c r="BS30" s="395">
        <f>IF(BS$8=$E30,$AD30,"")</f>
      </c>
      <c r="BT30" s="395">
        <f>IF(BT$8=$E30,$AD30,"")</f>
      </c>
      <c r="BU30" s="395">
        <f>IF(BU$8=$E30,$AD30,"")</f>
      </c>
      <c r="BV30" s="395">
        <f>IF(BV$8=$E30,$AD30,"")</f>
      </c>
      <c r="BW30" s="395">
        <f>IF(BW$8=$E30,$AD30,"")</f>
      </c>
      <c r="BX30" s="395">
        <f>IF(BX$8=$E30,$AD30,"")</f>
      </c>
      <c r="BY30" s="395">
        <f>IF(BY$8=$E30,$AD30,"")</f>
      </c>
      <c r="BZ30" s="395">
        <f>IF(BZ$8=$E30,$AD30,"")</f>
      </c>
      <c r="CA30" s="395">
        <f>IF(CA$8=$E30,$AD30,"")</f>
      </c>
      <c r="CB30" s="395">
        <f>IF(CB$8=$E30,$AD30,"")</f>
      </c>
      <c r="CC30" s="395">
        <f>IF(CC$8=$E30,$AD30,"")</f>
      </c>
      <c r="CD30" s="395">
        <f>IF(CD$8=$E30,$AD30,"")</f>
      </c>
      <c r="CE30" s="394"/>
    </row>
    <row r="31" spans="2:92" s="257" customFormat="1" ht="12.75" customHeight="1">
      <c r="B31" s="657">
        <v>9</v>
      </c>
      <c r="C31" s="657">
        <v>1</v>
      </c>
      <c r="D31" s="267"/>
      <c r="E31" s="350">
        <v>3</v>
      </c>
      <c r="F31" s="351">
        <v>1</v>
      </c>
      <c r="G31" s="267"/>
      <c r="H31" s="657" t="s">
        <v>528</v>
      </c>
      <c r="I31" s="267"/>
      <c r="J31" s="658" t="s">
        <v>529</v>
      </c>
      <c r="K31" s="267"/>
      <c r="L31" s="146">
        <v>967</v>
      </c>
      <c r="M31" s="353" t="s">
        <v>433</v>
      </c>
      <c r="N31" s="354" t="s">
        <v>548</v>
      </c>
      <c r="O31" s="644" t="s">
        <v>531</v>
      </c>
      <c r="P31" s="644" t="s">
        <v>549</v>
      </c>
      <c r="Q31" s="267"/>
      <c r="R31" s="359" t="s">
        <v>434</v>
      </c>
      <c r="S31" s="267"/>
      <c r="T31" s="664">
        <v>58</v>
      </c>
      <c r="U31" s="356">
        <v>1056</v>
      </c>
      <c r="V31" s="357">
        <v>20</v>
      </c>
      <c r="W31" s="358">
        <f>U31*V31/9</f>
        <v>2346.6666666666665</v>
      </c>
      <c r="X31" s="645"/>
      <c r="Y31" s="646">
        <f>ROUND(U31/5280,1)</f>
        <v>0.2</v>
      </c>
      <c r="Z31" s="646"/>
      <c r="AA31" s="361"/>
      <c r="AB31" s="362">
        <f>W31*0.45/240</f>
        <v>4.4</v>
      </c>
      <c r="AC31" s="363"/>
      <c r="AD31" s="364">
        <f>W31*30/2000</f>
        <v>35.2</v>
      </c>
      <c r="AE31" s="1"/>
      <c r="AF31" s="365">
        <f>W31*0.13/240</f>
        <v>1.271111111111111</v>
      </c>
      <c r="AG31" s="366"/>
      <c r="AH31" s="343">
        <f>ROUND((AB31*$J$59)+(AD31*$J$61)+(AF31*$J$63),0)</f>
        <v>3578</v>
      </c>
      <c r="AI31" s="378">
        <f t="shared" si="1"/>
        <v>485279</v>
      </c>
      <c r="AJ31" s="367"/>
      <c r="AK31" s="369"/>
      <c r="AL31" s="369"/>
      <c r="AM31" s="370"/>
      <c r="AN31" s="369"/>
      <c r="AO31" s="369"/>
      <c r="AP31" s="371"/>
      <c r="AQ31" s="372"/>
      <c r="AR31" s="373">
        <f>IF(AQ31="","",ROUND(AD31-AQ31,0))</f>
      </c>
      <c r="AS31" s="369"/>
      <c r="AT31" s="374">
        <f>IF(W31*T31&gt;0,W31*T31,"X X")</f>
        <v>136106.66666666666</v>
      </c>
      <c r="AU31" s="256"/>
      <c r="AV31" s="256"/>
      <c r="AW31" s="256"/>
      <c r="AX31" s="375">
        <f>IF(AX$8=$E31,$AB31,"")</f>
      </c>
      <c r="AY31" s="375">
        <f>IF(AY$8=$E31,$AB31,"")</f>
      </c>
      <c r="AZ31" s="375">
        <f>IF(AZ$8=$E31,$AB31,"")</f>
        <v>4.4</v>
      </c>
      <c r="BA31" s="375">
        <f>IF(BA$8=$E31,$AB31,"")</f>
      </c>
      <c r="BB31" s="375">
        <f>IF(BB$8=$E31,$AB31,"")</f>
      </c>
      <c r="BC31" s="375">
        <f>IF(BC$8=$E31,$AB31,"")</f>
      </c>
      <c r="BD31" s="375">
        <f>IF(BD$8=$E31,$AB31,"")</f>
      </c>
      <c r="BE31" s="375">
        <f>IF(BE$8=$E31,$AB31,"")</f>
      </c>
      <c r="BF31" s="375">
        <f>IF(BF$8=$E31,$AB31,"")</f>
      </c>
      <c r="BG31" s="375">
        <f>IF(BG$8=$E31,$AB31,"")</f>
      </c>
      <c r="BH31" s="375">
        <f>IF(BH$8=$E31,$AB31,"")</f>
      </c>
      <c r="BI31" s="375">
        <f>IF(BI$8=$E31,$AB31,"")</f>
      </c>
      <c r="BJ31" s="375">
        <f>IF(BJ$8=$E31,$AB31,"")</f>
      </c>
      <c r="BK31" s="375">
        <f>IF(BK$8=$E31,$AB31,"")</f>
      </c>
      <c r="BL31" s="375">
        <f>IF(BL$8=$E31,$AB31,"")</f>
      </c>
      <c r="BM31" s="256"/>
      <c r="BO31" s="256"/>
      <c r="BP31" s="376">
        <f>IF(BP$8=$E31,$AD31,"")</f>
      </c>
      <c r="BQ31" s="376">
        <f>IF(BQ$8=$E31,$AD31,"")</f>
      </c>
      <c r="BR31" s="376">
        <f>IF(BR$8=$E31,$AD31,"")</f>
        <v>35.2</v>
      </c>
      <c r="BS31" s="376">
        <f>IF(BS$8=$E31,$AD31,"")</f>
      </c>
      <c r="BT31" s="376">
        <f>IF(BT$8=$E31,$AD31,"")</f>
      </c>
      <c r="BU31" s="376">
        <f>IF(BU$8=$E31,$AD31,"")</f>
      </c>
      <c r="BV31" s="376">
        <f>IF(BV$8=$E31,$AD31,"")</f>
      </c>
      <c r="BW31" s="376">
        <f>IF(BW$8=$E31,$AD31,"")</f>
      </c>
      <c r="BX31" s="376">
        <f>IF(BX$8=$E31,$AD31,"")</f>
      </c>
      <c r="BY31" s="376">
        <f>IF(BY$8=$E31,$AD31,"")</f>
      </c>
      <c r="BZ31" s="376">
        <f>IF(BZ$8=$E31,$AD31,"")</f>
      </c>
      <c r="CA31" s="376">
        <f>IF(CA$8=$E31,$AD31,"")</f>
      </c>
      <c r="CB31" s="376">
        <f>IF(CB$8=$E31,$AD31,"")</f>
      </c>
      <c r="CC31" s="376">
        <f>IF(CC$8=$E31,$AD31,"")</f>
      </c>
      <c r="CD31" s="376">
        <f>IF(CD$8=$E31,$AD31,"")</f>
      </c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</row>
    <row r="32" spans="2:92" s="400" customFormat="1" ht="12.75">
      <c r="B32" s="657">
        <v>9</v>
      </c>
      <c r="C32" s="657">
        <v>2</v>
      </c>
      <c r="D32" s="267"/>
      <c r="E32" s="350">
        <v>3</v>
      </c>
      <c r="F32" s="351">
        <v>2</v>
      </c>
      <c r="G32" s="267"/>
      <c r="H32" s="657" t="s">
        <v>528</v>
      </c>
      <c r="I32" s="267"/>
      <c r="J32" s="658" t="s">
        <v>529</v>
      </c>
      <c r="K32" s="267"/>
      <c r="L32" s="369" t="s">
        <v>550</v>
      </c>
      <c r="M32" s="377" t="s">
        <v>433</v>
      </c>
      <c r="N32" s="354" t="s">
        <v>551</v>
      </c>
      <c r="O32" s="644" t="s">
        <v>531</v>
      </c>
      <c r="P32" s="644" t="s">
        <v>552</v>
      </c>
      <c r="Q32" s="267"/>
      <c r="R32" s="359" t="s">
        <v>430</v>
      </c>
      <c r="S32" s="267"/>
      <c r="T32" s="664">
        <v>55</v>
      </c>
      <c r="U32" s="356">
        <v>345</v>
      </c>
      <c r="V32" s="357">
        <v>35</v>
      </c>
      <c r="W32" s="358">
        <f>U32*V32/9</f>
        <v>1341.6666666666667</v>
      </c>
      <c r="X32" s="645"/>
      <c r="Y32" s="646">
        <f>ROUND(U32/5280,1)</f>
        <v>0.1</v>
      </c>
      <c r="Z32" s="646"/>
      <c r="AA32" s="361"/>
      <c r="AB32" s="362">
        <f>W32*0.45/240</f>
        <v>2.515625</v>
      </c>
      <c r="AC32" s="363"/>
      <c r="AD32" s="364">
        <f>W32*30/2000</f>
        <v>20.125</v>
      </c>
      <c r="AE32" s="1"/>
      <c r="AF32" s="365">
        <f>W32*0.13/240</f>
        <v>0.7267361111111111</v>
      </c>
      <c r="AG32" s="366"/>
      <c r="AH32" s="343">
        <f>ROUND((AB32*$J$59)+(AD32*$J$61)+(AF32*$J$63),0)</f>
        <v>2045</v>
      </c>
      <c r="AI32" s="378">
        <f t="shared" si="1"/>
        <v>487324</v>
      </c>
      <c r="AJ32" s="378"/>
      <c r="AK32" s="369"/>
      <c r="AL32" s="369"/>
      <c r="AM32" s="370"/>
      <c r="AN32" s="369"/>
      <c r="AO32" s="369"/>
      <c r="AP32" s="371"/>
      <c r="AQ32" s="372"/>
      <c r="AR32" s="373">
        <f>IF(AQ32="","",ROUND(AD32-AQ32,0))</f>
      </c>
      <c r="AS32" s="369"/>
      <c r="AT32" s="374">
        <f>IF(W32*T32&gt;0,W32*T32,"X X")</f>
        <v>73791.66666666667</v>
      </c>
      <c r="AU32" s="256"/>
      <c r="AV32" s="256"/>
      <c r="AW32" s="256"/>
      <c r="AX32" s="375">
        <f>IF(AX$8=$E32,$AB32,"")</f>
      </c>
      <c r="AY32" s="375">
        <f>IF(AY$8=$E32,$AB32,"")</f>
      </c>
      <c r="AZ32" s="375">
        <f>IF(AZ$8=$E32,$AB32,"")</f>
        <v>2.515625</v>
      </c>
      <c r="BA32" s="375">
        <f>IF(BA$8=$E32,$AB32,"")</f>
      </c>
      <c r="BB32" s="375">
        <f>IF(BB$8=$E32,$AB32,"")</f>
      </c>
      <c r="BC32" s="375">
        <f>IF(BC$8=$E32,$AB32,"")</f>
      </c>
      <c r="BD32" s="375">
        <f>IF(BD$8=$E32,$AB32,"")</f>
      </c>
      <c r="BE32" s="375">
        <f>IF(BE$8=$E32,$AB32,"")</f>
      </c>
      <c r="BF32" s="375">
        <f>IF(BF$8=$E32,$AB32,"")</f>
      </c>
      <c r="BG32" s="375">
        <f>IF(BG$8=$E32,$AB32,"")</f>
      </c>
      <c r="BH32" s="375">
        <f>IF(BH$8=$E32,$AB32,"")</f>
      </c>
      <c r="BI32" s="375">
        <f>IF(BI$8=$E32,$AB32,"")</f>
      </c>
      <c r="BJ32" s="375">
        <f>IF(BJ$8=$E32,$AB32,"")</f>
      </c>
      <c r="BK32" s="375">
        <f>IF(BK$8=$E32,$AB32,"")</f>
      </c>
      <c r="BL32" s="375">
        <f>IF(BL$8=$E32,$AB32,"")</f>
      </c>
      <c r="BM32" s="256"/>
      <c r="BN32" s="257"/>
      <c r="BO32" s="256"/>
      <c r="BP32" s="376">
        <f>IF(BP$8=$E32,$AD32,"")</f>
      </c>
      <c r="BQ32" s="376">
        <f>IF(BQ$8=$E32,$AD32,"")</f>
      </c>
      <c r="BR32" s="376">
        <f>IF(BR$8=$E32,$AD32,"")</f>
        <v>20.125</v>
      </c>
      <c r="BS32" s="376">
        <f>IF(BS$8=$E32,$AD32,"")</f>
      </c>
      <c r="BT32" s="376">
        <f>IF(BT$8=$E32,$AD32,"")</f>
      </c>
      <c r="BU32" s="376">
        <f>IF(BU$8=$E32,$AD32,"")</f>
      </c>
      <c r="BV32" s="376">
        <f>IF(BV$8=$E32,$AD32,"")</f>
      </c>
      <c r="BW32" s="376">
        <f>IF(BW$8=$E32,$AD32,"")</f>
      </c>
      <c r="BX32" s="376">
        <f>IF(BX$8=$E32,$AD32,"")</f>
      </c>
      <c r="BY32" s="376">
        <f>IF(BY$8=$E32,$AD32,"")</f>
      </c>
      <c r="BZ32" s="376">
        <f>IF(BZ$8=$E32,$AD32,"")</f>
      </c>
      <c r="CA32" s="376">
        <f>IF(CA$8=$E32,$AD32,"")</f>
      </c>
      <c r="CB32" s="376">
        <f>IF(CB$8=$E32,$AD32,"")</f>
      </c>
      <c r="CC32" s="376">
        <f>IF(CC$8=$E32,$AD32,"")</f>
      </c>
      <c r="CD32" s="376">
        <f>IF(CD$8=$E32,$AD32,"")</f>
      </c>
      <c r="CE32" s="256"/>
      <c r="CF32" s="256"/>
      <c r="CG32" s="256"/>
      <c r="CH32" s="256"/>
      <c r="CI32" s="256"/>
      <c r="CJ32" s="256"/>
      <c r="CK32" s="256"/>
      <c r="CL32" s="256"/>
      <c r="CM32" s="256"/>
      <c r="CN32" s="256"/>
    </row>
    <row r="33" spans="2:92" s="405" customFormat="1" ht="12.75">
      <c r="B33" s="657">
        <v>9</v>
      </c>
      <c r="C33" s="657">
        <v>3</v>
      </c>
      <c r="D33" s="267"/>
      <c r="E33" s="379"/>
      <c r="F33" s="380"/>
      <c r="G33" s="267"/>
      <c r="H33" s="657" t="s">
        <v>528</v>
      </c>
      <c r="I33" s="267"/>
      <c r="J33" s="658" t="s">
        <v>529</v>
      </c>
      <c r="K33" s="267"/>
      <c r="L33" s="369" t="s">
        <v>550</v>
      </c>
      <c r="M33" s="377" t="s">
        <v>429</v>
      </c>
      <c r="N33" s="354" t="s">
        <v>553</v>
      </c>
      <c r="O33" s="644" t="s">
        <v>533</v>
      </c>
      <c r="P33" s="644" t="s">
        <v>554</v>
      </c>
      <c r="Q33" s="267"/>
      <c r="R33" s="386" t="s">
        <v>430</v>
      </c>
      <c r="S33" s="267"/>
      <c r="T33" s="652">
        <v>82</v>
      </c>
      <c r="U33" s="356">
        <v>606</v>
      </c>
      <c r="V33" s="357">
        <v>22</v>
      </c>
      <c r="W33" s="385">
        <f>U33*V33/9</f>
        <v>1481.3333333333333</v>
      </c>
      <c r="X33" s="665"/>
      <c r="Y33" s="646">
        <f>ROUND(U33/5280,1)</f>
        <v>0.1</v>
      </c>
      <c r="Z33" s="646"/>
      <c r="AA33" s="387"/>
      <c r="AB33" s="362">
        <f>W33*0.45/240</f>
        <v>2.7775000000000003</v>
      </c>
      <c r="AC33" s="363"/>
      <c r="AD33" s="364">
        <f>W33*30/2000</f>
        <v>22.22</v>
      </c>
      <c r="AE33" s="364"/>
      <c r="AF33" s="365">
        <f>W33*0.13/240</f>
        <v>0.8023888888888888</v>
      </c>
      <c r="AG33" s="388"/>
      <c r="AH33" s="343">
        <f>ROUND((AB33*$J$59)+(AD33*$J$61)+(AF33*$J$63),0)</f>
        <v>2258</v>
      </c>
      <c r="AI33" s="378">
        <f t="shared" si="1"/>
        <v>489582</v>
      </c>
      <c r="AJ33" s="389"/>
      <c r="AK33" s="253"/>
      <c r="AL33" s="253"/>
      <c r="AM33" s="370"/>
      <c r="AN33" s="253"/>
      <c r="AO33" s="253"/>
      <c r="AP33" s="390"/>
      <c r="AQ33" s="391"/>
      <c r="AR33" s="392"/>
      <c r="AS33" s="253"/>
      <c r="AT33" s="374"/>
      <c r="AU33" s="257"/>
      <c r="AV33" s="257"/>
      <c r="AW33" s="257"/>
      <c r="AX33" s="375">
        <f>IF(AX$8=$E33,$AB33,"")</f>
      </c>
      <c r="AY33" s="375">
        <f>IF(AY$8=$E33,$AB33,"")</f>
      </c>
      <c r="AZ33" s="375">
        <f>IF(AZ$8=$E33,$AB33,"")</f>
      </c>
      <c r="BA33" s="375">
        <f>IF(BA$8=$E33,$AB33,"")</f>
      </c>
      <c r="BB33" s="375">
        <f>IF(BB$8=$E33,$AB33,"")</f>
      </c>
      <c r="BC33" s="375">
        <f>IF(BC$8=$E33,$AB33,"")</f>
      </c>
      <c r="BD33" s="375">
        <f>IF(BD$8=$E33,$AB33,"")</f>
      </c>
      <c r="BE33" s="375">
        <f>IF(BE$8=$E33,$AB33,"")</f>
      </c>
      <c r="BF33" s="375">
        <f>IF(BF$8=$E33,$AB33,"")</f>
      </c>
      <c r="BG33" s="375">
        <f>IF(BG$8=$E33,$AB33,"")</f>
      </c>
      <c r="BH33" s="375">
        <f>IF(BH$8=$E33,$AB33,"")</f>
      </c>
      <c r="BI33" s="375">
        <f>IF(BI$8=$E33,$AB33,"")</f>
      </c>
      <c r="BJ33" s="375">
        <f>IF(BJ$8=$E33,$AB33,"")</f>
      </c>
      <c r="BK33" s="375">
        <f>IF(BK$8=$E33,$AB33,"")</f>
      </c>
      <c r="BL33" s="375">
        <f>IF(BL$8=$E33,$AB33,"")</f>
      </c>
      <c r="BM33" s="257"/>
      <c r="BN33" s="257"/>
      <c r="BO33" s="257"/>
      <c r="BP33" s="376">
        <f>IF(BP$8=$E33,$AD33,"")</f>
      </c>
      <c r="BQ33" s="376">
        <f>IF(BQ$8=$E33,$AD33,"")</f>
      </c>
      <c r="BR33" s="376">
        <f>IF(BR$8=$E33,$AD33,"")</f>
      </c>
      <c r="BS33" s="376">
        <f>IF(BS$8=$E33,$AD33,"")</f>
      </c>
      <c r="BT33" s="376">
        <f>IF(BT$8=$E33,$AD33,"")</f>
      </c>
      <c r="BU33" s="376">
        <f>IF(BU$8=$E33,$AD33,"")</f>
      </c>
      <c r="BV33" s="376">
        <f>IF(BV$8=$E33,$AD33,"")</f>
      </c>
      <c r="BW33" s="376">
        <f>IF(BW$8=$E33,$AD33,"")</f>
      </c>
      <c r="BX33" s="376">
        <f>IF(BX$8=$E33,$AD33,"")</f>
      </c>
      <c r="BY33" s="376">
        <f>IF(BY$8=$E33,$AD33,"")</f>
      </c>
      <c r="BZ33" s="376">
        <f>IF(BZ$8=$E33,$AD33,"")</f>
      </c>
      <c r="CA33" s="376">
        <f>IF(CA$8=$E33,$AD33,"")</f>
      </c>
      <c r="CB33" s="376">
        <f>IF(CB$8=$E33,$AD33,"")</f>
      </c>
      <c r="CC33" s="376">
        <f>IF(CC$8=$E33,$AD33,"")</f>
      </c>
      <c r="CD33" s="376">
        <f>IF(CD$8=$E33,$AD33,"")</f>
      </c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</row>
    <row r="34" spans="2:92" s="257" customFormat="1" ht="12.75" customHeight="1">
      <c r="B34" s="657">
        <v>9</v>
      </c>
      <c r="C34" s="657">
        <v>4</v>
      </c>
      <c r="D34" s="267"/>
      <c r="E34" s="402">
        <v>1</v>
      </c>
      <c r="F34" s="403">
        <v>1</v>
      </c>
      <c r="G34" s="267"/>
      <c r="H34" s="657" t="s">
        <v>528</v>
      </c>
      <c r="I34" s="267"/>
      <c r="J34" s="658" t="s">
        <v>529</v>
      </c>
      <c r="K34" s="267"/>
      <c r="L34" s="253" t="s">
        <v>550</v>
      </c>
      <c r="M34" s="381" t="s">
        <v>431</v>
      </c>
      <c r="N34" s="354" t="s">
        <v>553</v>
      </c>
      <c r="O34" s="643" t="s">
        <v>554</v>
      </c>
      <c r="P34" s="643" t="s">
        <v>555</v>
      </c>
      <c r="Q34" s="267"/>
      <c r="R34" s="386" t="s">
        <v>430</v>
      </c>
      <c r="S34" s="267"/>
      <c r="T34" s="360">
        <v>79</v>
      </c>
      <c r="U34" s="383">
        <v>387</v>
      </c>
      <c r="V34" s="384">
        <v>32</v>
      </c>
      <c r="W34" s="358">
        <f>U34*V34/9</f>
        <v>1376</v>
      </c>
      <c r="X34" s="645"/>
      <c r="Y34" s="646">
        <f>ROUND(U34/5280,1)</f>
        <v>0.1</v>
      </c>
      <c r="Z34" s="646"/>
      <c r="AA34" s="387"/>
      <c r="AB34" s="362">
        <f>W34*0.45/240</f>
        <v>2.58</v>
      </c>
      <c r="AC34" s="363"/>
      <c r="AD34" s="364">
        <f>W34*30/2000</f>
        <v>20.64</v>
      </c>
      <c r="AE34" s="364"/>
      <c r="AF34" s="365">
        <f>W34*0.13/240</f>
        <v>0.7453333333333333</v>
      </c>
      <c r="AG34" s="388"/>
      <c r="AH34" s="343">
        <f>ROUND((AB34*$J$59)+(AD34*$J$61)+(AF34*$J$63),0)</f>
        <v>2098</v>
      </c>
      <c r="AI34" s="378">
        <f t="shared" si="1"/>
        <v>491680</v>
      </c>
      <c r="AJ34" s="389"/>
      <c r="AK34" s="253"/>
      <c r="AL34" s="369"/>
      <c r="AM34" s="370"/>
      <c r="AN34" s="369"/>
      <c r="AO34" s="369"/>
      <c r="AP34" s="371"/>
      <c r="AQ34" s="391"/>
      <c r="AR34" s="392"/>
      <c r="AS34" s="253"/>
      <c r="AT34" s="374"/>
      <c r="AX34" s="375">
        <f>IF(AX$8=$E34,$AB34,"")</f>
        <v>2.58</v>
      </c>
      <c r="AY34" s="375">
        <f>IF(AY$8=$E34,$AB34,"")</f>
      </c>
      <c r="AZ34" s="375">
        <f>IF(AZ$8=$E34,$AB34,"")</f>
      </c>
      <c r="BA34" s="375">
        <f>IF(BA$8=$E34,$AB34,"")</f>
      </c>
      <c r="BB34" s="375">
        <f>IF(BB$8=$E34,$AB34,"")</f>
      </c>
      <c r="BC34" s="375">
        <f>IF(BC$8=$E34,$AB34,"")</f>
      </c>
      <c r="BD34" s="375">
        <f>IF(BD$8=$E34,$AB34,"")</f>
      </c>
      <c r="BE34" s="375">
        <f>IF(BE$8=$E34,$AB34,"")</f>
      </c>
      <c r="BF34" s="375">
        <f>IF(BF$8=$E34,$AB34,"")</f>
      </c>
      <c r="BG34" s="375">
        <f>IF(BG$8=$E34,$AB34,"")</f>
      </c>
      <c r="BH34" s="375">
        <f>IF(BH$8=$E34,$AB34,"")</f>
      </c>
      <c r="BI34" s="375">
        <f>IF(BI$8=$E34,$AB34,"")</f>
      </c>
      <c r="BJ34" s="375">
        <f>IF(BJ$8=$E34,$AB34,"")</f>
      </c>
      <c r="BK34" s="375">
        <f>IF(BK$8=$E34,$AB34,"")</f>
      </c>
      <c r="BL34" s="375">
        <f>IF(BL$8=$E34,$AB34,"")</f>
      </c>
      <c r="BO34" s="394"/>
      <c r="BP34" s="395">
        <f>IF(BP$8=$E34,$AD34,"")</f>
        <v>20.64</v>
      </c>
      <c r="BQ34" s="395">
        <f>IF(BQ$8=$E34,$AD34,"")</f>
      </c>
      <c r="BR34" s="395">
        <f>IF(BR$8=$E34,$AD34,"")</f>
      </c>
      <c r="BS34" s="395">
        <f>IF(BS$8=$E34,$AD34,"")</f>
      </c>
      <c r="BT34" s="395">
        <f>IF(BT$8=$E34,$AD34,"")</f>
      </c>
      <c r="BU34" s="395">
        <f>IF(BU$8=$E34,$AD34,"")</f>
      </c>
      <c r="BV34" s="395">
        <f>IF(BV$8=$E34,$AD34,"")</f>
      </c>
      <c r="BW34" s="395">
        <f>IF(BW$8=$E34,$AD34,"")</f>
      </c>
      <c r="BX34" s="395">
        <f>IF(BX$8=$E34,$AD34,"")</f>
      </c>
      <c r="BY34" s="395">
        <f>IF(BY$8=$E34,$AD34,"")</f>
      </c>
      <c r="BZ34" s="395">
        <f>IF(BZ$8=$E34,$AD34,"")</f>
      </c>
      <c r="CA34" s="395">
        <f>IF(CA$8=$E34,$AD34,"")</f>
      </c>
      <c r="CB34" s="395">
        <f>IF(CB$8=$E34,$AD34,"")</f>
      </c>
      <c r="CC34" s="395">
        <f>IF(CC$8=$E34,$AD34,"")</f>
      </c>
      <c r="CD34" s="395">
        <f>IF(CD$8=$E34,$AD34,"")</f>
      </c>
      <c r="CE34" s="394"/>
      <c r="CF34" s="256"/>
      <c r="CG34" s="256"/>
      <c r="CH34" s="256"/>
      <c r="CI34" s="256"/>
      <c r="CJ34" s="256"/>
      <c r="CK34" s="256"/>
      <c r="CL34" s="256"/>
      <c r="CM34" s="256"/>
      <c r="CN34" s="256"/>
    </row>
    <row r="35" spans="2:82" ht="12.75">
      <c r="B35" s="657">
        <v>9</v>
      </c>
      <c r="C35" s="657">
        <v>5</v>
      </c>
      <c r="D35" s="267"/>
      <c r="E35" s="379"/>
      <c r="F35" s="380"/>
      <c r="G35" s="267"/>
      <c r="H35" s="657" t="s">
        <v>528</v>
      </c>
      <c r="I35" s="267"/>
      <c r="J35" s="658" t="s">
        <v>529</v>
      </c>
      <c r="K35" s="267"/>
      <c r="L35" s="253" t="s">
        <v>550</v>
      </c>
      <c r="M35" s="396" t="s">
        <v>432</v>
      </c>
      <c r="N35" s="382" t="s">
        <v>556</v>
      </c>
      <c r="O35" s="644" t="s">
        <v>552</v>
      </c>
      <c r="P35" s="643" t="s">
        <v>557</v>
      </c>
      <c r="Q35" s="267"/>
      <c r="R35" s="359" t="s">
        <v>430</v>
      </c>
      <c r="S35" s="267"/>
      <c r="T35" s="648">
        <v>63</v>
      </c>
      <c r="U35" s="383">
        <v>407</v>
      </c>
      <c r="V35" s="384">
        <v>32</v>
      </c>
      <c r="W35" s="358">
        <f>U35*V35/9</f>
        <v>1447.111111111111</v>
      </c>
      <c r="X35" s="645"/>
      <c r="Y35" s="646">
        <f>ROUND(U35/5280,1)</f>
        <v>0.1</v>
      </c>
      <c r="Z35" s="646"/>
      <c r="AA35" s="361"/>
      <c r="AB35" s="362">
        <f>W35*0.45/240</f>
        <v>2.7133333333333334</v>
      </c>
      <c r="AC35" s="363"/>
      <c r="AD35" s="364">
        <f>W35*30/2000</f>
        <v>21.706666666666667</v>
      </c>
      <c r="AE35" s="1"/>
      <c r="AF35" s="365">
        <f>W35*0.13/240</f>
        <v>0.7838518518518518</v>
      </c>
      <c r="AG35" s="366"/>
      <c r="AH35" s="343">
        <f>ROUND((AB35*$J$59)+(AD35*$J$61)+(AF35*$J$63),0)</f>
        <v>2206</v>
      </c>
      <c r="AI35" s="378">
        <f t="shared" si="1"/>
        <v>493886</v>
      </c>
      <c r="AJ35" s="378"/>
      <c r="AK35" s="369"/>
      <c r="AL35" s="369"/>
      <c r="AM35" s="370"/>
      <c r="AN35" s="369"/>
      <c r="AO35" s="369"/>
      <c r="AP35" s="371"/>
      <c r="AQ35" s="391"/>
      <c r="AR35" s="392"/>
      <c r="AS35" s="253"/>
      <c r="AT35" s="374"/>
      <c r="AU35" s="257"/>
      <c r="AV35" s="257"/>
      <c r="AW35" s="257"/>
      <c r="AX35" s="375">
        <f>IF(AX$8=$E35,$AB35,"")</f>
      </c>
      <c r="AY35" s="375">
        <f>IF(AY$8=$E35,$AB35,"")</f>
      </c>
      <c r="AZ35" s="375">
        <f>IF(AZ$8=$E35,$AB35,"")</f>
      </c>
      <c r="BA35" s="375">
        <f>IF(BA$8=$E35,$AB35,"")</f>
      </c>
      <c r="BB35" s="375">
        <f>IF(BB$8=$E35,$AB35,"")</f>
      </c>
      <c r="BC35" s="375">
        <f>IF(BC$8=$E35,$AB35,"")</f>
      </c>
      <c r="BD35" s="375">
        <f>IF(BD$8=$E35,$AB35,"")</f>
      </c>
      <c r="BE35" s="375">
        <f>IF(BE$8=$E35,$AB35,"")</f>
      </c>
      <c r="BF35" s="375">
        <f>IF(BF$8=$E35,$AB35,"")</f>
      </c>
      <c r="BG35" s="375">
        <f>IF(BG$8=$E35,$AB35,"")</f>
      </c>
      <c r="BH35" s="375">
        <f>IF(BH$8=$E35,$AB35,"")</f>
      </c>
      <c r="BI35" s="375">
        <f>IF(BI$8=$E35,$AB35,"")</f>
      </c>
      <c r="BJ35" s="375">
        <f>IF(BJ$8=$E35,$AB35,"")</f>
      </c>
      <c r="BK35" s="375">
        <f>IF(BK$8=$E35,$AB35,"")</f>
      </c>
      <c r="BL35" s="375">
        <f>IF(BL$8=$E35,$AB35,"")</f>
      </c>
      <c r="BM35" s="257"/>
      <c r="BP35" s="376">
        <f>IF(BP$8=$E35,$AD35,"")</f>
      </c>
      <c r="BQ35" s="376">
        <f>IF(BQ$8=$E35,$AD35,"")</f>
      </c>
      <c r="BR35" s="376">
        <f>IF(BR$8=$E35,$AD35,"")</f>
      </c>
      <c r="BS35" s="376">
        <f>IF(BS$8=$E35,$AD35,"")</f>
      </c>
      <c r="BT35" s="376">
        <f>IF(BT$8=$E35,$AD35,"")</f>
      </c>
      <c r="BU35" s="376">
        <f>IF(BU$8=$E35,$AD35,"")</f>
      </c>
      <c r="BV35" s="376">
        <f>IF(BV$8=$E35,$AD35,"")</f>
      </c>
      <c r="BW35" s="376">
        <f>IF(BW$8=$E35,$AD35,"")</f>
      </c>
      <c r="BX35" s="376">
        <f>IF(BX$8=$E35,$AD35,"")</f>
      </c>
      <c r="BY35" s="376">
        <f>IF(BY$8=$E35,$AD35,"")</f>
      </c>
      <c r="BZ35" s="376">
        <f>IF(BZ$8=$E35,$AD35,"")</f>
      </c>
      <c r="CA35" s="376">
        <f>IF(CA$8=$E35,$AD35,"")</f>
      </c>
      <c r="CB35" s="376">
        <f>IF(CB$8=$E35,$AD35,"")</f>
      </c>
      <c r="CC35" s="376">
        <f>IF(CC$8=$E35,$AD35,"")</f>
      </c>
      <c r="CD35" s="376">
        <f>IF(CD$8=$E35,$AD35,"")</f>
      </c>
    </row>
    <row r="36" spans="2:92" s="400" customFormat="1" ht="12.75">
      <c r="B36" s="666">
        <v>10</v>
      </c>
      <c r="C36" s="666">
        <v>1</v>
      </c>
      <c r="D36" s="267"/>
      <c r="E36" s="402">
        <v>1</v>
      </c>
      <c r="F36" s="403">
        <v>1</v>
      </c>
      <c r="G36" s="267"/>
      <c r="H36" s="660" t="s">
        <v>558</v>
      </c>
      <c r="I36" s="267"/>
      <c r="J36" s="658" t="s">
        <v>529</v>
      </c>
      <c r="K36" s="267"/>
      <c r="L36" s="667" t="s">
        <v>559</v>
      </c>
      <c r="M36" s="377" t="s">
        <v>433</v>
      </c>
      <c r="N36" s="404" t="s">
        <v>560</v>
      </c>
      <c r="O36" s="644" t="s">
        <v>561</v>
      </c>
      <c r="P36" s="644" t="s">
        <v>562</v>
      </c>
      <c r="Q36" s="267"/>
      <c r="R36" s="386" t="s">
        <v>434</v>
      </c>
      <c r="S36" s="267"/>
      <c r="T36" s="360">
        <v>78</v>
      </c>
      <c r="U36" s="356">
        <v>1600</v>
      </c>
      <c r="V36" s="357">
        <v>20</v>
      </c>
      <c r="W36" s="358">
        <f>U36*V36/9</f>
        <v>3555.5555555555557</v>
      </c>
      <c r="X36" s="645"/>
      <c r="Y36" s="646">
        <f>ROUND(U36/5280,1)</f>
        <v>0.3</v>
      </c>
      <c r="Z36" s="646"/>
      <c r="AA36" s="361"/>
      <c r="AB36" s="362">
        <f>W36*0.45/240</f>
        <v>6.666666666666667</v>
      </c>
      <c r="AC36" s="363"/>
      <c r="AD36" s="364">
        <f>W36*30/2000</f>
        <v>53.333333333333336</v>
      </c>
      <c r="AE36" s="364"/>
      <c r="AF36" s="365">
        <f>W36*0.13/240</f>
        <v>1.925925925925926</v>
      </c>
      <c r="AG36" s="388"/>
      <c r="AH36" s="343">
        <f>ROUND((AB36*$J$59)+(AD36*$J$61)+(AF36*$J$63),0)</f>
        <v>5421</v>
      </c>
      <c r="AI36" s="378">
        <f t="shared" si="1"/>
        <v>499307</v>
      </c>
      <c r="AJ36" s="389"/>
      <c r="AK36" s="253"/>
      <c r="AL36" s="253"/>
      <c r="AM36" s="370"/>
      <c r="AN36" s="253"/>
      <c r="AO36" s="253"/>
      <c r="AP36" s="390"/>
      <c r="AQ36" s="391"/>
      <c r="AR36" s="392"/>
      <c r="AS36" s="253"/>
      <c r="AT36" s="374"/>
      <c r="AU36" s="257"/>
      <c r="AV36" s="257"/>
      <c r="AW36" s="257"/>
      <c r="AX36" s="375">
        <f>IF(AX$8=$E36,$AB36,"")</f>
        <v>6.666666666666667</v>
      </c>
      <c r="AY36" s="375">
        <f>IF(AY$8=$E36,$AB36,"")</f>
      </c>
      <c r="AZ36" s="375">
        <f>IF(AZ$8=$E36,$AB36,"")</f>
      </c>
      <c r="BA36" s="375">
        <f>IF(BA$8=$E36,$AB36,"")</f>
      </c>
      <c r="BB36" s="375">
        <f>IF(BB$8=$E36,$AB36,"")</f>
      </c>
      <c r="BC36" s="375">
        <f>IF(BC$8=$E36,$AB36,"")</f>
      </c>
      <c r="BD36" s="375">
        <f>IF(BD$8=$E36,$AB36,"")</f>
      </c>
      <c r="BE36" s="375">
        <f>IF(BE$8=$E36,$AB36,"")</f>
      </c>
      <c r="BF36" s="375">
        <f>IF(BF$8=$E36,$AB36,"")</f>
      </c>
      <c r="BG36" s="375">
        <f>IF(BG$8=$E36,$AB36,"")</f>
      </c>
      <c r="BH36" s="375">
        <f>IF(BH$8=$E36,$AB36,"")</f>
      </c>
      <c r="BI36" s="375">
        <f>IF(BI$8=$E36,$AB36,"")</f>
      </c>
      <c r="BJ36" s="375">
        <f>IF(BJ$8=$E36,$AB36,"")</f>
      </c>
      <c r="BK36" s="375">
        <f>IF(BK$8=$E36,$AB36,"")</f>
      </c>
      <c r="BL36" s="375">
        <f>IF(BL$8=$E36,$AB36,"")</f>
      </c>
      <c r="BM36" s="257"/>
      <c r="BN36" s="257"/>
      <c r="BO36" s="394"/>
      <c r="BP36" s="395">
        <f>IF(BP$8=$E36,$AD36,"")</f>
        <v>53.333333333333336</v>
      </c>
      <c r="BQ36" s="395">
        <f>IF(BQ$8=$E36,$AD36,"")</f>
      </c>
      <c r="BR36" s="395">
        <f>IF(BR$8=$E36,$AD36,"")</f>
      </c>
      <c r="BS36" s="395">
        <f>IF(BS$8=$E36,$AD36,"")</f>
      </c>
      <c r="BT36" s="395">
        <f>IF(BT$8=$E36,$AD36,"")</f>
      </c>
      <c r="BU36" s="395">
        <f>IF(BU$8=$E36,$AD36,"")</f>
      </c>
      <c r="BV36" s="395">
        <f>IF(BV$8=$E36,$AD36,"")</f>
      </c>
      <c r="BW36" s="395">
        <f>IF(BW$8=$E36,$AD36,"")</f>
      </c>
      <c r="BX36" s="395">
        <f>IF(BX$8=$E36,$AD36,"")</f>
      </c>
      <c r="BY36" s="395">
        <f>IF(BY$8=$E36,$AD36,"")</f>
      </c>
      <c r="BZ36" s="395">
        <f>IF(BZ$8=$E36,$AD36,"")</f>
      </c>
      <c r="CA36" s="395">
        <f>IF(CA$8=$E36,$AD36,"")</f>
      </c>
      <c r="CB36" s="395">
        <f>IF(CB$8=$E36,$AD36,"")</f>
      </c>
      <c r="CC36" s="395">
        <f>IF(CC$8=$E36,$AD36,"")</f>
      </c>
      <c r="CD36" s="395">
        <f>IF(CD$8=$E36,$AD36,"")</f>
      </c>
      <c r="CE36" s="394"/>
      <c r="CF36" s="256"/>
      <c r="CG36" s="256"/>
      <c r="CH36" s="256"/>
      <c r="CI36" s="256"/>
      <c r="CJ36" s="256"/>
      <c r="CK36" s="256"/>
      <c r="CL36" s="256"/>
      <c r="CM36" s="256"/>
      <c r="CN36" s="256"/>
    </row>
    <row r="37" spans="2:92" s="257" customFormat="1" ht="12.75" customHeight="1">
      <c r="B37" s="666">
        <v>10</v>
      </c>
      <c r="C37" s="666">
        <v>2</v>
      </c>
      <c r="D37" s="267"/>
      <c r="E37" s="350"/>
      <c r="F37" s="351"/>
      <c r="G37" s="267"/>
      <c r="H37" s="662" t="s">
        <v>542</v>
      </c>
      <c r="I37" s="267"/>
      <c r="J37" s="658" t="s">
        <v>529</v>
      </c>
      <c r="K37" s="267"/>
      <c r="L37" s="369">
        <v>962</v>
      </c>
      <c r="M37" s="377" t="s">
        <v>433</v>
      </c>
      <c r="N37" s="382" t="s">
        <v>563</v>
      </c>
      <c r="O37" s="643" t="s">
        <v>564</v>
      </c>
      <c r="P37" s="644" t="s">
        <v>565</v>
      </c>
      <c r="Q37" s="267"/>
      <c r="R37" s="386" t="s">
        <v>434</v>
      </c>
      <c r="S37" s="267"/>
      <c r="T37" s="652">
        <v>86</v>
      </c>
      <c r="U37" s="356">
        <v>2376</v>
      </c>
      <c r="V37" s="357">
        <v>20</v>
      </c>
      <c r="W37" s="358">
        <f>U37*V37/9</f>
        <v>5280</v>
      </c>
      <c r="X37" s="645"/>
      <c r="Y37" s="646">
        <f>ROUND(U37/5280,1)</f>
        <v>0.5</v>
      </c>
      <c r="Z37" s="646"/>
      <c r="AA37" s="361"/>
      <c r="AB37" s="362">
        <f>W37*0.45/240</f>
        <v>9.9</v>
      </c>
      <c r="AC37" s="363"/>
      <c r="AD37" s="364">
        <f>W37*30/2000</f>
        <v>79.2</v>
      </c>
      <c r="AE37" s="364"/>
      <c r="AF37" s="365">
        <f>W37*0.13/240</f>
        <v>2.86</v>
      </c>
      <c r="AG37" s="388"/>
      <c r="AH37" s="343">
        <f>ROUND((AB37*$J$59)+(AD37*$J$61)+(AF37*$J$63),0)</f>
        <v>8050</v>
      </c>
      <c r="AI37" s="378">
        <f t="shared" si="1"/>
        <v>507357</v>
      </c>
      <c r="AJ37" s="389"/>
      <c r="AK37" s="253"/>
      <c r="AL37" s="253"/>
      <c r="AM37" s="370"/>
      <c r="AN37" s="253"/>
      <c r="AO37" s="253"/>
      <c r="AP37" s="390"/>
      <c r="AQ37" s="391"/>
      <c r="AR37" s="392"/>
      <c r="AS37" s="253"/>
      <c r="AT37" s="374"/>
      <c r="AX37" s="375">
        <f>IF(AX$8=$E37,$AB37,"")</f>
      </c>
      <c r="AY37" s="375">
        <f>IF(AY$8=$E37,$AB37,"")</f>
      </c>
      <c r="AZ37" s="375">
        <f>IF(AZ$8=$E37,$AB37,"")</f>
      </c>
      <c r="BA37" s="375">
        <f>IF(BA$8=$E37,$AB37,"")</f>
      </c>
      <c r="BB37" s="375">
        <f>IF(BB$8=$E37,$AB37,"")</f>
      </c>
      <c r="BC37" s="375">
        <f>IF(BC$8=$E37,$AB37,"")</f>
      </c>
      <c r="BD37" s="375">
        <f>IF(BD$8=$E37,$AB37,"")</f>
      </c>
      <c r="BE37" s="375">
        <f>IF(BE$8=$E37,$AB37,"")</f>
      </c>
      <c r="BF37" s="375">
        <f>IF(BF$8=$E37,$AB37,"")</f>
      </c>
      <c r="BG37" s="375">
        <f>IF(BG$8=$E37,$AB37,"")</f>
      </c>
      <c r="BH37" s="375">
        <f>IF(BH$8=$E37,$AB37,"")</f>
      </c>
      <c r="BI37" s="375">
        <f>IF(BI$8=$E37,$AB37,"")</f>
      </c>
      <c r="BJ37" s="375">
        <f>IF(BJ$8=$E37,$AB37,"")</f>
      </c>
      <c r="BK37" s="375">
        <f>IF(BK$8=$E37,$AB37,"")</f>
      </c>
      <c r="BL37" s="375">
        <f>IF(BL$8=$E37,$AB37,"")</f>
      </c>
      <c r="BO37" s="394"/>
      <c r="BP37" s="395">
        <f>IF(BP$8=$E37,$AD37,"")</f>
      </c>
      <c r="BQ37" s="395">
        <f>IF(BQ$8=$E37,$AD37,"")</f>
      </c>
      <c r="BR37" s="395">
        <f>IF(BR$8=$E37,$AD37,"")</f>
      </c>
      <c r="BS37" s="395">
        <f>IF(BS$8=$E37,$AD37,"")</f>
      </c>
      <c r="BT37" s="395">
        <f>IF(BT$8=$E37,$AD37,"")</f>
      </c>
      <c r="BU37" s="395">
        <f>IF(BU$8=$E37,$AD37,"")</f>
      </c>
      <c r="BV37" s="395">
        <f>IF(BV$8=$E37,$AD37,"")</f>
      </c>
      <c r="BW37" s="395">
        <f>IF(BW$8=$E37,$AD37,"")</f>
      </c>
      <c r="BX37" s="395">
        <f>IF(BX$8=$E37,$AD37,"")</f>
      </c>
      <c r="BY37" s="395">
        <f>IF(BY$8=$E37,$AD37,"")</f>
      </c>
      <c r="BZ37" s="395">
        <f>IF(BZ$8=$E37,$AD37,"")</f>
      </c>
      <c r="CA37" s="395">
        <f>IF(CA$8=$E37,$AD37,"")</f>
      </c>
      <c r="CB37" s="395">
        <f>IF(CB$8=$E37,$AD37,"")</f>
      </c>
      <c r="CC37" s="395">
        <f>IF(CC$8=$E37,$AD37,"")</f>
      </c>
      <c r="CD37" s="395">
        <f>IF(CD$8=$E37,$AD37,"")</f>
      </c>
      <c r="CE37" s="394"/>
      <c r="CF37" s="256"/>
      <c r="CG37" s="256"/>
      <c r="CH37" s="256"/>
      <c r="CI37" s="256"/>
      <c r="CJ37" s="256"/>
      <c r="CK37" s="256"/>
      <c r="CL37" s="256"/>
      <c r="CM37" s="256"/>
      <c r="CN37" s="256"/>
    </row>
    <row r="38" spans="2:82" ht="12.75">
      <c r="B38" s="393">
        <v>11</v>
      </c>
      <c r="C38" s="393">
        <v>1</v>
      </c>
      <c r="D38" s="267"/>
      <c r="E38" s="668"/>
      <c r="F38" s="669"/>
      <c r="G38" s="267"/>
      <c r="H38" s="653" t="s">
        <v>17</v>
      </c>
      <c r="I38" s="267"/>
      <c r="J38" s="642" t="s">
        <v>504</v>
      </c>
      <c r="K38" s="267"/>
      <c r="L38" s="369">
        <v>942</v>
      </c>
      <c r="M38" s="377" t="s">
        <v>433</v>
      </c>
      <c r="N38" s="354" t="s">
        <v>566</v>
      </c>
      <c r="O38" s="644" t="s">
        <v>522</v>
      </c>
      <c r="P38" s="644" t="s">
        <v>567</v>
      </c>
      <c r="Q38" s="267"/>
      <c r="R38" s="670" t="s">
        <v>434</v>
      </c>
      <c r="S38" s="267"/>
      <c r="T38" s="671">
        <v>78</v>
      </c>
      <c r="U38" s="672">
        <v>1953</v>
      </c>
      <c r="V38" s="673">
        <v>20</v>
      </c>
      <c r="W38" s="674">
        <f>U38*V38/9</f>
        <v>4340</v>
      </c>
      <c r="X38" s="675"/>
      <c r="Y38" s="676">
        <f>ROUND(U38/5280,1)</f>
        <v>0.4</v>
      </c>
      <c r="Z38" s="676"/>
      <c r="AA38" s="677"/>
      <c r="AB38" s="678">
        <f>W38*0.45/240</f>
        <v>8.1375</v>
      </c>
      <c r="AC38" s="679"/>
      <c r="AD38" s="680">
        <f>W38*30/2000</f>
        <v>65.1</v>
      </c>
      <c r="AE38" s="680"/>
      <c r="AF38" s="681">
        <f>W38*0.13/240</f>
        <v>2.3508333333333336</v>
      </c>
      <c r="AG38" s="682"/>
      <c r="AH38" s="343">
        <f>ROUND((AB38*$J$59)+(AD38*$J$61)+(AF38*$J$63),0)</f>
        <v>6617</v>
      </c>
      <c r="AI38" s="683">
        <f t="shared" si="1"/>
        <v>513974</v>
      </c>
      <c r="AJ38" s="683"/>
      <c r="AK38" s="355"/>
      <c r="AL38" s="355"/>
      <c r="AM38" s="684"/>
      <c r="AN38" s="355"/>
      <c r="AO38" s="355"/>
      <c r="AP38" s="355"/>
      <c r="AQ38" s="372"/>
      <c r="AR38" s="373">
        <f>IF(AQ38="","",ROUND(AD38-AQ38,0))</f>
      </c>
      <c r="AS38" s="253"/>
      <c r="AT38" s="374"/>
      <c r="AX38" s="375">
        <f>IF(AX$8=$E38,$AB38,"")</f>
      </c>
      <c r="AY38" s="375">
        <f>IF(AY$8=$E38,$AB38,"")</f>
      </c>
      <c r="AZ38" s="375">
        <f>IF(AZ$8=$E38,$AB38,"")</f>
      </c>
      <c r="BA38" s="375">
        <f>IF(BA$8=$E38,$AB38,"")</f>
      </c>
      <c r="BB38" s="375">
        <f>IF(BB$8=$E38,$AB38,"")</f>
      </c>
      <c r="BC38" s="375">
        <f>IF(BC$8=$E38,$AB38,"")</f>
      </c>
      <c r="BD38" s="375">
        <f>IF(BD$8=$E38,$AB38,"")</f>
      </c>
      <c r="BE38" s="375">
        <f>IF(BE$8=$E38,$AB38,"")</f>
      </c>
      <c r="BF38" s="375">
        <f>IF(BF$8=$E38,$AB38,"")</f>
      </c>
      <c r="BG38" s="375">
        <f>IF(BG$8=$E38,$AB38,"")</f>
      </c>
      <c r="BH38" s="375">
        <f>IF(BH$8=$E38,$AB38,"")</f>
      </c>
      <c r="BI38" s="375">
        <f>IF(BI$8=$E38,$AB38,"")</f>
      </c>
      <c r="BJ38" s="375">
        <f>IF(BJ$8=$E38,$AB38,"")</f>
      </c>
      <c r="BK38" s="375">
        <f>IF(BK$8=$E38,$AB38,"")</f>
      </c>
      <c r="BL38" s="375">
        <f>IF(BL$8=$E38,$AB38,"")</f>
      </c>
      <c r="BP38" s="376">
        <f>IF(BP$8=$E38,$AD38,"")</f>
      </c>
      <c r="BQ38" s="376">
        <f>IF(BQ$8=$E38,$AD38,"")</f>
      </c>
      <c r="BR38" s="376">
        <f>IF(BR$8=$E38,$AD38,"")</f>
      </c>
      <c r="BS38" s="376">
        <f>IF(BS$8=$E38,$AD38,"")</f>
      </c>
      <c r="BT38" s="376">
        <f>IF(BT$8=$E38,$AD38,"")</f>
      </c>
      <c r="BU38" s="376">
        <f>IF(BU$8=$E38,$AD38,"")</f>
      </c>
      <c r="BV38" s="376">
        <f>IF(BV$8=$E38,$AD38,"")</f>
      </c>
      <c r="BW38" s="376">
        <f>IF(BW$8=$E38,$AD38,"")</f>
      </c>
      <c r="BX38" s="376">
        <f>IF(BX$8=$E38,$AD38,"")</f>
      </c>
      <c r="BY38" s="376">
        <f>IF(BY$8=$E38,$AD38,"")</f>
      </c>
      <c r="BZ38" s="376">
        <f>IF(BZ$8=$E38,$AD38,"")</f>
      </c>
      <c r="CA38" s="376">
        <f>IF(CA$8=$E38,$AD38,"")</f>
      </c>
      <c r="CB38" s="376">
        <f>IF(CB$8=$E38,$AD38,"")</f>
      </c>
      <c r="CC38" s="376">
        <f>IF(CC$8=$E38,$AD38,"")</f>
      </c>
      <c r="CD38" s="376">
        <f>IF(CD$8=$E38,$AD38,"")</f>
      </c>
    </row>
    <row r="39" spans="1:82" ht="12.75">
      <c r="A39" s="256" t="s">
        <v>568</v>
      </c>
      <c r="B39" s="393">
        <v>11</v>
      </c>
      <c r="C39" s="393">
        <v>2</v>
      </c>
      <c r="D39" s="267"/>
      <c r="E39" s="350"/>
      <c r="F39" s="351"/>
      <c r="G39" s="267"/>
      <c r="H39" s="653" t="s">
        <v>17</v>
      </c>
      <c r="I39" s="267"/>
      <c r="J39" s="642" t="s">
        <v>504</v>
      </c>
      <c r="K39" s="267"/>
      <c r="L39" s="369">
        <v>942</v>
      </c>
      <c r="M39" s="377" t="s">
        <v>429</v>
      </c>
      <c r="N39" s="354" t="s">
        <v>566</v>
      </c>
      <c r="O39" s="644" t="s">
        <v>567</v>
      </c>
      <c r="P39" s="644" t="s">
        <v>569</v>
      </c>
      <c r="Q39" s="267"/>
      <c r="R39" s="359" t="s">
        <v>434</v>
      </c>
      <c r="S39" s="267"/>
      <c r="T39" s="360">
        <v>75</v>
      </c>
      <c r="U39" s="356">
        <v>6600</v>
      </c>
      <c r="V39" s="357">
        <v>20</v>
      </c>
      <c r="W39" s="358">
        <f>U39*V39/9</f>
        <v>14666.666666666666</v>
      </c>
      <c r="X39" s="645"/>
      <c r="Y39" s="646">
        <f>ROUND(U39/5280,1)</f>
        <v>1.3</v>
      </c>
      <c r="Z39" s="646"/>
      <c r="AA39" s="361"/>
      <c r="AB39" s="362">
        <f>W39*0.45/240</f>
        <v>27.5</v>
      </c>
      <c r="AC39" s="363"/>
      <c r="AD39" s="364">
        <f>W39*30/2000</f>
        <v>220</v>
      </c>
      <c r="AE39" s="364"/>
      <c r="AF39" s="365">
        <f>W39*0.13/240</f>
        <v>7.944444444444445</v>
      </c>
      <c r="AG39" s="388"/>
      <c r="AH39" s="343">
        <f>ROUND((AB39*$J$59)+(AD39*$J$61)+(AF39*$J$63),0)</f>
        <v>22361</v>
      </c>
      <c r="AI39" s="378">
        <f>AI38+AH39</f>
        <v>536335</v>
      </c>
      <c r="AJ39" s="378"/>
      <c r="AK39" s="369"/>
      <c r="AL39" s="369"/>
      <c r="AM39" s="370"/>
      <c r="AN39" s="369"/>
      <c r="AO39" s="369"/>
      <c r="AP39" s="371"/>
      <c r="AQ39" s="372"/>
      <c r="AR39" s="373">
        <f>IF(AQ39="","",ROUND(AD39-AQ39,0))</f>
      </c>
      <c r="AS39" s="253"/>
      <c r="AT39" s="374"/>
      <c r="AX39" s="375">
        <f>IF(AX$8=$E39,$AB39,"")</f>
      </c>
      <c r="AY39" s="375">
        <f>IF(AY$8=$E39,$AB39,"")</f>
      </c>
      <c r="AZ39" s="375">
        <f>IF(AZ$8=$E39,$AB39,"")</f>
      </c>
      <c r="BA39" s="375">
        <f>IF(BA$8=$E39,$AB39,"")</f>
      </c>
      <c r="BB39" s="375">
        <f>IF(BB$8=$E39,$AB39,"")</f>
      </c>
      <c r="BC39" s="375">
        <f>IF(BC$8=$E39,$AB39,"")</f>
      </c>
      <c r="BD39" s="375">
        <f>IF(BD$8=$E39,$AB39,"")</f>
      </c>
      <c r="BE39" s="375">
        <f>IF(BE$8=$E39,$AB39,"")</f>
      </c>
      <c r="BF39" s="375">
        <f>IF(BF$8=$E39,$AB39,"")</f>
      </c>
      <c r="BG39" s="375">
        <f>IF(BG$8=$E39,$AB39,"")</f>
      </c>
      <c r="BH39" s="375">
        <f>IF(BH$8=$E39,$AB39,"")</f>
      </c>
      <c r="BI39" s="375">
        <f>IF(BI$8=$E39,$AB39,"")</f>
      </c>
      <c r="BJ39" s="375">
        <f>IF(BJ$8=$E39,$AB39,"")</f>
      </c>
      <c r="BK39" s="375">
        <f>IF(BK$8=$E39,$AB39,"")</f>
      </c>
      <c r="BL39" s="375">
        <f>IF(BL$8=$E39,$AB39,"")</f>
      </c>
      <c r="BP39" s="376">
        <f>IF(BP$8=$E39,$AD39,"")</f>
      </c>
      <c r="BQ39" s="376">
        <f>IF(BQ$8=$E39,$AD39,"")</f>
      </c>
      <c r="BR39" s="376">
        <f>IF(BR$8=$E39,$AD39,"")</f>
      </c>
      <c r="BS39" s="376">
        <f>IF(BS$8=$E39,$AD39,"")</f>
      </c>
      <c r="BT39" s="376">
        <f>IF(BT$8=$E39,$AD39,"")</f>
      </c>
      <c r="BU39" s="376">
        <f>IF(BU$8=$E39,$AD39,"")</f>
      </c>
      <c r="BV39" s="376">
        <f>IF(BV$8=$E39,$AD39,"")</f>
      </c>
      <c r="BW39" s="376">
        <f>IF(BW$8=$E39,$AD39,"")</f>
      </c>
      <c r="BX39" s="376">
        <f>IF(BX$8=$E39,$AD39,"")</f>
      </c>
      <c r="BY39" s="376">
        <f>IF(BY$8=$E39,$AD39,"")</f>
      </c>
      <c r="BZ39" s="376">
        <f>IF(BZ$8=$E39,$AD39,"")</f>
      </c>
      <c r="CA39" s="376">
        <f>IF(CA$8=$E39,$AD39,"")</f>
      </c>
      <c r="CB39" s="376">
        <f>IF(CB$8=$E39,$AD39,"")</f>
      </c>
      <c r="CC39" s="376">
        <f>IF(CC$8=$E39,$AD39,"")</f>
      </c>
      <c r="CD39" s="376">
        <f>IF(CD$8=$E39,$AD39,"")</f>
      </c>
    </row>
    <row r="40" spans="2:82" ht="12.75">
      <c r="B40" s="685">
        <v>12</v>
      </c>
      <c r="C40" s="685">
        <v>1</v>
      </c>
      <c r="D40" s="267"/>
      <c r="E40" s="350"/>
      <c r="F40" s="351"/>
      <c r="G40" s="267"/>
      <c r="H40" s="653" t="s">
        <v>17</v>
      </c>
      <c r="I40" s="267"/>
      <c r="J40" s="642" t="s">
        <v>504</v>
      </c>
      <c r="K40" s="267"/>
      <c r="L40" s="369" t="s">
        <v>570</v>
      </c>
      <c r="M40" s="377" t="s">
        <v>433</v>
      </c>
      <c r="N40" s="354" t="s">
        <v>571</v>
      </c>
      <c r="O40" s="644" t="s">
        <v>566</v>
      </c>
      <c r="P40" s="644" t="s">
        <v>522</v>
      </c>
      <c r="Q40" s="267"/>
      <c r="R40" s="359" t="s">
        <v>434</v>
      </c>
      <c r="S40" s="267"/>
      <c r="T40" s="360">
        <v>77</v>
      </c>
      <c r="U40" s="356">
        <v>2692</v>
      </c>
      <c r="V40" s="357">
        <v>20</v>
      </c>
      <c r="W40" s="358">
        <f>U40*V40/9</f>
        <v>5982.222222222223</v>
      </c>
      <c r="X40" s="645"/>
      <c r="Y40" s="646">
        <f>ROUND(U40/5280,1)</f>
        <v>0.5</v>
      </c>
      <c r="Z40" s="646"/>
      <c r="AA40" s="361"/>
      <c r="AB40" s="362">
        <f>W40*0.45/240</f>
        <v>11.216666666666669</v>
      </c>
      <c r="AC40" s="363"/>
      <c r="AD40" s="364">
        <f>W40*30/2000</f>
        <v>89.73333333333335</v>
      </c>
      <c r="AE40" s="364"/>
      <c r="AF40" s="365">
        <f>W40*0.13/240</f>
        <v>3.240370370370371</v>
      </c>
      <c r="AG40" s="388"/>
      <c r="AH40" s="343">
        <f>ROUND((AB40*$J$59)+(AD40*$J$61)+(AF40*$J$63),0)</f>
        <v>9120</v>
      </c>
      <c r="AI40" s="378">
        <f>AI39+AH40</f>
        <v>545455</v>
      </c>
      <c r="AJ40" s="378"/>
      <c r="AK40" s="369"/>
      <c r="AL40" s="369"/>
      <c r="AM40" s="370"/>
      <c r="AN40" s="369"/>
      <c r="AO40" s="369"/>
      <c r="AP40" s="371"/>
      <c r="AQ40" s="372"/>
      <c r="AR40" s="373">
        <f>IF(AQ40="","",ROUND(AD40-AQ40,0))</f>
      </c>
      <c r="AS40" s="253"/>
      <c r="AT40" s="374"/>
      <c r="AX40" s="375">
        <f>IF(AX$8=$E40,$AB40,"")</f>
      </c>
      <c r="AY40" s="375">
        <f>IF(AY$8=$E40,$AB40,"")</f>
      </c>
      <c r="AZ40" s="375">
        <f>IF(AZ$8=$E40,$AB40,"")</f>
      </c>
      <c r="BA40" s="375">
        <f>IF(BA$8=$E40,$AB40,"")</f>
      </c>
      <c r="BB40" s="375">
        <f>IF(BB$8=$E40,$AB40,"")</f>
      </c>
      <c r="BC40" s="375">
        <f>IF(BC$8=$E40,$AB40,"")</f>
      </c>
      <c r="BD40" s="375">
        <f>IF(BD$8=$E40,$AB40,"")</f>
      </c>
      <c r="BE40" s="375">
        <f>IF(BE$8=$E40,$AB40,"")</f>
      </c>
      <c r="BF40" s="375">
        <f>IF(BF$8=$E40,$AB40,"")</f>
      </c>
      <c r="BG40" s="375">
        <f>IF(BG$8=$E40,$AB40,"")</f>
      </c>
      <c r="BH40" s="375">
        <f>IF(BH$8=$E40,$AB40,"")</f>
      </c>
      <c r="BI40" s="375">
        <f>IF(BI$8=$E40,$AB40,"")</f>
      </c>
      <c r="BJ40" s="375">
        <f>IF(BJ$8=$E40,$AB40,"")</f>
      </c>
      <c r="BK40" s="375">
        <f>IF(BK$8=$E40,$AB40,"")</f>
      </c>
      <c r="BL40" s="375">
        <f>IF(BL$8=$E40,$AB40,"")</f>
      </c>
      <c r="BP40" s="376">
        <f>IF(BP$8=$E40,$AD40,"")</f>
      </c>
      <c r="BQ40" s="376">
        <f>IF(BQ$8=$E40,$AD40,"")</f>
      </c>
      <c r="BR40" s="376">
        <f>IF(BR$8=$E40,$AD40,"")</f>
      </c>
      <c r="BS40" s="376">
        <f>IF(BS$8=$E40,$AD40,"")</f>
      </c>
      <c r="BT40" s="376">
        <f>IF(BT$8=$E40,$AD40,"")</f>
      </c>
      <c r="BU40" s="376">
        <f>IF(BU$8=$E40,$AD40,"")</f>
      </c>
      <c r="BV40" s="376">
        <f>IF(BV$8=$E40,$AD40,"")</f>
      </c>
      <c r="BW40" s="376">
        <f>IF(BW$8=$E40,$AD40,"")</f>
      </c>
      <c r="BX40" s="376">
        <f>IF(BX$8=$E40,$AD40,"")</f>
      </c>
      <c r="BY40" s="376">
        <f>IF(BY$8=$E40,$AD40,"")</f>
      </c>
      <c r="BZ40" s="376">
        <f>IF(BZ$8=$E40,$AD40,"")</f>
      </c>
      <c r="CA40" s="376">
        <f>IF(CA$8=$E40,$AD40,"")</f>
      </c>
      <c r="CB40" s="376">
        <f>IF(CB$8=$E40,$AD40,"")</f>
      </c>
      <c r="CC40" s="376">
        <f>IF(CC$8=$E40,$AD40,"")</f>
      </c>
      <c r="CD40" s="376">
        <f>IF(CD$8=$E40,$AD40,"")</f>
      </c>
    </row>
    <row r="41" spans="2:82" ht="12.75">
      <c r="B41" s="686">
        <v>13</v>
      </c>
      <c r="C41" s="686">
        <v>1</v>
      </c>
      <c r="D41" s="267"/>
      <c r="E41" s="350"/>
      <c r="F41" s="351"/>
      <c r="G41" s="267"/>
      <c r="H41" s="649" t="s">
        <v>510</v>
      </c>
      <c r="I41" s="267"/>
      <c r="J41" s="642" t="s">
        <v>504</v>
      </c>
      <c r="K41" s="267"/>
      <c r="L41" s="369">
        <v>945</v>
      </c>
      <c r="M41" s="377" t="s">
        <v>433</v>
      </c>
      <c r="N41" s="354" t="s">
        <v>572</v>
      </c>
      <c r="O41" s="644" t="s">
        <v>573</v>
      </c>
      <c r="P41" s="644" t="s">
        <v>522</v>
      </c>
      <c r="Q41" s="267"/>
      <c r="R41" s="359" t="s">
        <v>434</v>
      </c>
      <c r="S41" s="267"/>
      <c r="T41" s="360">
        <v>79</v>
      </c>
      <c r="U41" s="356">
        <v>6916</v>
      </c>
      <c r="V41" s="357">
        <v>21</v>
      </c>
      <c r="W41" s="358">
        <f>U41*V41/9</f>
        <v>16137.333333333334</v>
      </c>
      <c r="X41" s="645"/>
      <c r="Y41" s="646">
        <f>ROUND(U41/5280,1)</f>
        <v>1.3</v>
      </c>
      <c r="Z41" s="646"/>
      <c r="AA41" s="361"/>
      <c r="AB41" s="362">
        <f>W41*0.45/240</f>
        <v>30.2575</v>
      </c>
      <c r="AC41" s="363"/>
      <c r="AD41" s="364">
        <f>W41*30/2000</f>
        <v>242.06</v>
      </c>
      <c r="AE41" s="364"/>
      <c r="AF41" s="365">
        <f>W41*0.13/240</f>
        <v>8.741055555555556</v>
      </c>
      <c r="AG41" s="388"/>
      <c r="AH41" s="343">
        <f>ROUND((AB41*$J$59)+(AD41*$J$61)+(AF41*$J$63),0)</f>
        <v>24603</v>
      </c>
      <c r="AI41" s="378">
        <f>AI39+AH41</f>
        <v>560938</v>
      </c>
      <c r="AJ41" s="378"/>
      <c r="AK41" s="369"/>
      <c r="AL41" s="369"/>
      <c r="AM41" s="370"/>
      <c r="AN41" s="369"/>
      <c r="AO41" s="369"/>
      <c r="AP41" s="371"/>
      <c r="AQ41" s="372"/>
      <c r="AR41" s="373">
        <f>IF(AQ41="","",ROUND(AD41-AQ41,0))</f>
      </c>
      <c r="AS41" s="253"/>
      <c r="AT41" s="374"/>
      <c r="AX41" s="375">
        <f>IF(AX$8=$E41,$AB41,"")</f>
      </c>
      <c r="AY41" s="375">
        <f>IF(AY$8=$E41,$AB41,"")</f>
      </c>
      <c r="AZ41" s="375">
        <f>IF(AZ$8=$E41,$AB41,"")</f>
      </c>
      <c r="BA41" s="375">
        <f>IF(BA$8=$E41,$AB41,"")</f>
      </c>
      <c r="BB41" s="375">
        <f>IF(BB$8=$E41,$AB41,"")</f>
      </c>
      <c r="BC41" s="375">
        <f>IF(BC$8=$E41,$AB41,"")</f>
      </c>
      <c r="BD41" s="375">
        <f>IF(BD$8=$E41,$AB41,"")</f>
      </c>
      <c r="BE41" s="375">
        <f>IF(BE$8=$E41,$AB41,"")</f>
      </c>
      <c r="BF41" s="375">
        <f>IF(BF$8=$E41,$AB41,"")</f>
      </c>
      <c r="BG41" s="375">
        <f>IF(BG$8=$E41,$AB41,"")</f>
      </c>
      <c r="BH41" s="375">
        <f>IF(BH$8=$E41,$AB41,"")</f>
      </c>
      <c r="BI41" s="375">
        <f>IF(BI$8=$E41,$AB41,"")</f>
      </c>
      <c r="BJ41" s="375">
        <f>IF(BJ$8=$E41,$AB41,"")</f>
      </c>
      <c r="BK41" s="375">
        <f>IF(BK$8=$E41,$AB41,"")</f>
      </c>
      <c r="BL41" s="375">
        <f>IF(BL$8=$E41,$AB41,"")</f>
      </c>
      <c r="BP41" s="376">
        <f>IF(BP$8=$E41,$AD41,"")</f>
      </c>
      <c r="BQ41" s="376">
        <f>IF(BQ$8=$E41,$AD41,"")</f>
      </c>
      <c r="BR41" s="376">
        <f>IF(BR$8=$E41,$AD41,"")</f>
      </c>
      <c r="BS41" s="376">
        <f>IF(BS$8=$E41,$AD41,"")</f>
      </c>
      <c r="BT41" s="376">
        <f>IF(BT$8=$E41,$AD41,"")</f>
      </c>
      <c r="BU41" s="376">
        <f>IF(BU$8=$E41,$AD41,"")</f>
      </c>
      <c r="BV41" s="376">
        <f>IF(BV$8=$E41,$AD41,"")</f>
      </c>
      <c r="BW41" s="376">
        <f>IF(BW$8=$E41,$AD41,"")</f>
      </c>
      <c r="BX41" s="376">
        <f>IF(BX$8=$E41,$AD41,"")</f>
      </c>
      <c r="BY41" s="376">
        <f>IF(BY$8=$E41,$AD41,"")</f>
      </c>
      <c r="BZ41" s="376">
        <f>IF(BZ$8=$E41,$AD41,"")</f>
      </c>
      <c r="CA41" s="376">
        <f>IF(CA$8=$E41,$AD41,"")</f>
      </c>
      <c r="CB41" s="376">
        <f>IF(CB$8=$E41,$AD41,"")</f>
      </c>
      <c r="CC41" s="376">
        <f>IF(CC$8=$E41,$AD41,"")</f>
      </c>
      <c r="CD41" s="376">
        <f>IF(CD$8=$E41,$AD41,"")</f>
      </c>
    </row>
    <row r="42" spans="2:82" ht="12.75">
      <c r="B42" s="687">
        <v>14</v>
      </c>
      <c r="C42" s="687">
        <v>1</v>
      </c>
      <c r="D42" s="267"/>
      <c r="E42" s="350"/>
      <c r="F42" s="351"/>
      <c r="G42" s="267"/>
      <c r="H42" s="650" t="s">
        <v>514</v>
      </c>
      <c r="I42" s="267"/>
      <c r="J42" s="651" t="s">
        <v>517</v>
      </c>
      <c r="K42" s="267"/>
      <c r="L42" s="369">
        <v>89</v>
      </c>
      <c r="M42" s="377" t="s">
        <v>431</v>
      </c>
      <c r="N42" s="354" t="s">
        <v>574</v>
      </c>
      <c r="O42" s="644" t="s">
        <v>575</v>
      </c>
      <c r="P42" s="644" t="s">
        <v>576</v>
      </c>
      <c r="Q42" s="267"/>
      <c r="R42" s="359" t="s">
        <v>430</v>
      </c>
      <c r="S42" s="267"/>
      <c r="T42" s="652">
        <v>81</v>
      </c>
      <c r="U42" s="356">
        <v>1990</v>
      </c>
      <c r="V42" s="357">
        <v>28</v>
      </c>
      <c r="W42" s="358">
        <f>U42*V42/9</f>
        <v>6191.111111111111</v>
      </c>
      <c r="X42" s="645"/>
      <c r="Y42" s="646">
        <f>ROUND(U42/5280,1)</f>
        <v>0.4</v>
      </c>
      <c r="Z42" s="646"/>
      <c r="AA42" s="361"/>
      <c r="AB42" s="362">
        <f>W42*0.45/240</f>
        <v>11.608333333333333</v>
      </c>
      <c r="AC42" s="363"/>
      <c r="AD42" s="364">
        <f>W42*30/2000</f>
        <v>92.86666666666667</v>
      </c>
      <c r="AE42" s="364"/>
      <c r="AF42" s="365">
        <f>W42*0.13/240</f>
        <v>3.353518518518519</v>
      </c>
      <c r="AG42" s="388"/>
      <c r="AH42" s="343">
        <f>ROUND((AB42*$J$59)+(AD42*$J$61)+(AF42*$J$63),0)</f>
        <v>9439</v>
      </c>
      <c r="AI42" s="378">
        <f aca="true" t="shared" si="2" ref="AI42:AI49">AI41+AH42</f>
        <v>570377</v>
      </c>
      <c r="AJ42" s="378"/>
      <c r="AK42" s="369"/>
      <c r="AL42" s="369"/>
      <c r="AM42" s="370"/>
      <c r="AN42" s="369"/>
      <c r="AO42" s="369"/>
      <c r="AP42" s="371"/>
      <c r="AQ42" s="372"/>
      <c r="AR42" s="373">
        <f>IF(AQ42="","",ROUND(AD42-AQ42,0))</f>
      </c>
      <c r="AS42" s="253"/>
      <c r="AT42" s="374"/>
      <c r="AX42" s="375">
        <f>IF(AX$8=$E42,$AB42,"")</f>
      </c>
      <c r="AY42" s="375">
        <f>IF(AY$8=$E42,$AB42,"")</f>
      </c>
      <c r="AZ42" s="375">
        <f>IF(AZ$8=$E42,$AB42,"")</f>
      </c>
      <c r="BA42" s="375">
        <f>IF(BA$8=$E42,$AB42,"")</f>
      </c>
      <c r="BB42" s="375">
        <f>IF(BB$8=$E42,$AB42,"")</f>
      </c>
      <c r="BC42" s="375">
        <f>IF(BC$8=$E42,$AB42,"")</f>
      </c>
      <c r="BD42" s="375">
        <f>IF(BD$8=$E42,$AB42,"")</f>
      </c>
      <c r="BE42" s="375">
        <f>IF(BE$8=$E42,$AB42,"")</f>
      </c>
      <c r="BF42" s="375">
        <f>IF(BF$8=$E42,$AB42,"")</f>
      </c>
      <c r="BG42" s="375">
        <f>IF(BG$8=$E42,$AB42,"")</f>
      </c>
      <c r="BH42" s="375">
        <f>IF(BH$8=$E42,$AB42,"")</f>
      </c>
      <c r="BI42" s="375">
        <f>IF(BI$8=$E42,$AB42,"")</f>
      </c>
      <c r="BJ42" s="375">
        <f>IF(BJ$8=$E42,$AB42,"")</f>
      </c>
      <c r="BK42" s="375">
        <f>IF(BK$8=$E42,$AB42,"")</f>
      </c>
      <c r="BL42" s="375">
        <f>IF(BL$8=$E42,$AB42,"")</f>
      </c>
      <c r="BP42" s="376">
        <f>IF(BP$8=$E42,$AD42,"")</f>
      </c>
      <c r="BQ42" s="376">
        <f>IF(BQ$8=$E42,$AD42,"")</f>
      </c>
      <c r="BR42" s="376">
        <f>IF(BR$8=$E42,$AD42,"")</f>
      </c>
      <c r="BS42" s="376">
        <f>IF(BS$8=$E42,$AD42,"")</f>
      </c>
      <c r="BT42" s="376">
        <f>IF(BT$8=$E42,$AD42,"")</f>
      </c>
      <c r="BU42" s="376">
        <f>IF(BU$8=$E42,$AD42,"")</f>
      </c>
      <c r="BV42" s="376">
        <f>IF(BV$8=$E42,$AD42,"")</f>
      </c>
      <c r="BW42" s="376">
        <f>IF(BW$8=$E42,$AD42,"")</f>
      </c>
      <c r="BX42" s="376">
        <f>IF(BX$8=$E42,$AD42,"")</f>
      </c>
      <c r="BY42" s="376">
        <f>IF(BY$8=$E42,$AD42,"")</f>
      </c>
      <c r="BZ42" s="376">
        <f>IF(BZ$8=$E42,$AD42,"")</f>
      </c>
      <c r="CA42" s="376">
        <f>IF(CA$8=$E42,$AD42,"")</f>
      </c>
      <c r="CB42" s="376">
        <f>IF(CB$8=$E42,$AD42,"")</f>
      </c>
      <c r="CC42" s="376">
        <f>IF(CC$8=$E42,$AD42,"")</f>
      </c>
      <c r="CD42" s="376">
        <f>IF(CD$8=$E42,$AD42,"")</f>
      </c>
    </row>
    <row r="43" spans="2:82" ht="12.75">
      <c r="B43" s="688">
        <v>15</v>
      </c>
      <c r="C43" s="688">
        <v>1</v>
      </c>
      <c r="D43" s="267"/>
      <c r="E43" s="350"/>
      <c r="F43" s="351"/>
      <c r="G43" s="267"/>
      <c r="H43" s="650" t="s">
        <v>514</v>
      </c>
      <c r="I43" s="267"/>
      <c r="J43" s="651" t="s">
        <v>517</v>
      </c>
      <c r="K43" s="267"/>
      <c r="L43" s="369">
        <v>89</v>
      </c>
      <c r="M43" s="377" t="s">
        <v>432</v>
      </c>
      <c r="N43" s="354" t="s">
        <v>577</v>
      </c>
      <c r="O43" s="644" t="s">
        <v>576</v>
      </c>
      <c r="P43" s="644" t="s">
        <v>578</v>
      </c>
      <c r="Q43" s="267"/>
      <c r="R43" s="359" t="s">
        <v>523</v>
      </c>
      <c r="S43" s="267"/>
      <c r="T43" s="360">
        <v>70</v>
      </c>
      <c r="U43" s="356">
        <v>1120</v>
      </c>
      <c r="V43" s="357">
        <v>37</v>
      </c>
      <c r="W43" s="358">
        <f>U43*V43/9</f>
        <v>4604.444444444444</v>
      </c>
      <c r="X43" s="645"/>
      <c r="Y43" s="646">
        <f>ROUND(U43/5280,1)</f>
        <v>0.2</v>
      </c>
      <c r="Z43" s="646"/>
      <c r="AA43" s="361"/>
      <c r="AB43" s="362">
        <f>W43*0.45/240</f>
        <v>8.633333333333333</v>
      </c>
      <c r="AC43" s="363"/>
      <c r="AD43" s="364">
        <f>W43*30/2000</f>
        <v>69.06666666666668</v>
      </c>
      <c r="AE43" s="364"/>
      <c r="AF43" s="365">
        <f>W43*0.13/240</f>
        <v>2.494074074074074</v>
      </c>
      <c r="AG43" s="388"/>
      <c r="AH43" s="343">
        <f>ROUND((AB43*$J$59)+(AD43*$J$61)+(AF43*$J$63),0)</f>
        <v>7020</v>
      </c>
      <c r="AI43" s="378">
        <f t="shared" si="2"/>
        <v>577397</v>
      </c>
      <c r="AJ43" s="378"/>
      <c r="AK43" s="369"/>
      <c r="AL43" s="369"/>
      <c r="AM43" s="370"/>
      <c r="AN43" s="369"/>
      <c r="AO43" s="369"/>
      <c r="AP43" s="371"/>
      <c r="AQ43" s="372"/>
      <c r="AR43" s="373">
        <f>IF(AQ43="","",ROUND(AD43-AQ43,0))</f>
      </c>
      <c r="AS43" s="253"/>
      <c r="AT43" s="374"/>
      <c r="AX43" s="375">
        <f>IF(AX$8=$E43,$AB43,"")</f>
      </c>
      <c r="AY43" s="375">
        <f>IF(AY$8=$E43,$AB43,"")</f>
      </c>
      <c r="AZ43" s="375">
        <f>IF(AZ$8=$E43,$AB43,"")</f>
      </c>
      <c r="BA43" s="375">
        <f>IF(BA$8=$E43,$AB43,"")</f>
      </c>
      <c r="BB43" s="375">
        <f>IF(BB$8=$E43,$AB43,"")</f>
      </c>
      <c r="BC43" s="375">
        <f>IF(BC$8=$E43,$AB43,"")</f>
      </c>
      <c r="BD43" s="375">
        <f>IF(BD$8=$E43,$AB43,"")</f>
      </c>
      <c r="BE43" s="375">
        <f>IF(BE$8=$E43,$AB43,"")</f>
      </c>
      <c r="BF43" s="375">
        <f>IF(BF$8=$E43,$AB43,"")</f>
      </c>
      <c r="BG43" s="375">
        <f>IF(BG$8=$E43,$AB43,"")</f>
      </c>
      <c r="BH43" s="375">
        <f>IF(BH$8=$E43,$AB43,"")</f>
      </c>
      <c r="BI43" s="375">
        <f>IF(BI$8=$E43,$AB43,"")</f>
      </c>
      <c r="BJ43" s="375">
        <f>IF(BJ$8=$E43,$AB43,"")</f>
      </c>
      <c r="BK43" s="375">
        <f>IF(BK$8=$E43,$AB43,"")</f>
      </c>
      <c r="BL43" s="375">
        <f>IF(BL$8=$E43,$AB43,"")</f>
      </c>
      <c r="BP43" s="376">
        <f>IF(BP$8=$E43,$AD43,"")</f>
      </c>
      <c r="BQ43" s="376">
        <f>IF(BQ$8=$E43,$AD43,"")</f>
      </c>
      <c r="BR43" s="376">
        <f>IF(BR$8=$E43,$AD43,"")</f>
      </c>
      <c r="BS43" s="376">
        <f>IF(BS$8=$E43,$AD43,"")</f>
      </c>
      <c r="BT43" s="376">
        <f>IF(BT$8=$E43,$AD43,"")</f>
      </c>
      <c r="BU43" s="376">
        <f>IF(BU$8=$E43,$AD43,"")</f>
      </c>
      <c r="BV43" s="376">
        <f>IF(BV$8=$E43,$AD43,"")</f>
      </c>
      <c r="BW43" s="376">
        <f>IF(BW$8=$E43,$AD43,"")</f>
      </c>
      <c r="BX43" s="376">
        <f>IF(BX$8=$E43,$AD43,"")</f>
      </c>
      <c r="BY43" s="376">
        <f>IF(BY$8=$E43,$AD43,"")</f>
      </c>
      <c r="BZ43" s="376">
        <f>IF(BZ$8=$E43,$AD43,"")</f>
      </c>
      <c r="CA43" s="376">
        <f>IF(CA$8=$E43,$AD43,"")</f>
      </c>
      <c r="CB43" s="376">
        <f>IF(CB$8=$E43,$AD43,"")</f>
      </c>
      <c r="CC43" s="376">
        <f>IF(CC$8=$E43,$AD43,"")</f>
      </c>
      <c r="CD43" s="376">
        <f>IF(CD$8=$E43,$AD43,"")</f>
      </c>
    </row>
    <row r="44" spans="2:82" ht="12.75">
      <c r="B44" s="688">
        <v>15</v>
      </c>
      <c r="C44" s="688">
        <v>2</v>
      </c>
      <c r="D44" s="267"/>
      <c r="E44" s="350"/>
      <c r="F44" s="351"/>
      <c r="G44" s="267"/>
      <c r="H44" s="650" t="s">
        <v>514</v>
      </c>
      <c r="I44" s="267"/>
      <c r="J44" s="651" t="s">
        <v>517</v>
      </c>
      <c r="K44" s="267"/>
      <c r="L44" s="369">
        <v>89</v>
      </c>
      <c r="M44" s="377" t="s">
        <v>435</v>
      </c>
      <c r="N44" s="354" t="s">
        <v>577</v>
      </c>
      <c r="O44" s="644" t="s">
        <v>578</v>
      </c>
      <c r="P44" s="644" t="s">
        <v>579</v>
      </c>
      <c r="Q44" s="267"/>
      <c r="R44" s="359" t="s">
        <v>523</v>
      </c>
      <c r="S44" s="267"/>
      <c r="T44" s="648">
        <v>64</v>
      </c>
      <c r="U44" s="356">
        <v>530</v>
      </c>
      <c r="V44" s="357">
        <v>32</v>
      </c>
      <c r="W44" s="358">
        <f>U44*V44/9</f>
        <v>1884.4444444444443</v>
      </c>
      <c r="X44" s="645"/>
      <c r="Y44" s="646">
        <f>ROUND(U44/5280,1)</f>
        <v>0.1</v>
      </c>
      <c r="Z44" s="646"/>
      <c r="AA44" s="361"/>
      <c r="AB44" s="362">
        <f>W44*0.45/240</f>
        <v>3.533333333333333</v>
      </c>
      <c r="AC44" s="363"/>
      <c r="AD44" s="364">
        <f>W44*30/2000</f>
        <v>28.266666666666666</v>
      </c>
      <c r="AE44" s="364"/>
      <c r="AF44" s="365">
        <f>W44*0.13/240</f>
        <v>1.0207407407407407</v>
      </c>
      <c r="AG44" s="388"/>
      <c r="AH44" s="343">
        <f>ROUND((AB44*$J$59)+(AD44*$J$61)+(AF44*$J$63),0)</f>
        <v>2873</v>
      </c>
      <c r="AI44" s="378">
        <f t="shared" si="2"/>
        <v>580270</v>
      </c>
      <c r="AJ44" s="378"/>
      <c r="AK44" s="369"/>
      <c r="AL44" s="369"/>
      <c r="AM44" s="370"/>
      <c r="AN44" s="369"/>
      <c r="AO44" s="369"/>
      <c r="AP44" s="371"/>
      <c r="AQ44" s="372"/>
      <c r="AR44" s="373">
        <f>IF(AQ44="","",ROUND(AD44-AQ44,0))</f>
      </c>
      <c r="AS44" s="253"/>
      <c r="AT44" s="374"/>
      <c r="AX44" s="375">
        <f>IF(AX$8=$E44,$AB44,"")</f>
      </c>
      <c r="AY44" s="375">
        <f>IF(AY$8=$E44,$AB44,"")</f>
      </c>
      <c r="AZ44" s="375">
        <f>IF(AZ$8=$E44,$AB44,"")</f>
      </c>
      <c r="BA44" s="375">
        <f>IF(BA$8=$E44,$AB44,"")</f>
      </c>
      <c r="BB44" s="375">
        <f>IF(BB$8=$E44,$AB44,"")</f>
      </c>
      <c r="BC44" s="375">
        <f>IF(BC$8=$E44,$AB44,"")</f>
      </c>
      <c r="BD44" s="375">
        <f>IF(BD$8=$E44,$AB44,"")</f>
      </c>
      <c r="BE44" s="375">
        <f>IF(BE$8=$E44,$AB44,"")</f>
      </c>
      <c r="BF44" s="375">
        <f>IF(BF$8=$E44,$AB44,"")</f>
      </c>
      <c r="BG44" s="375">
        <f>IF(BG$8=$E44,$AB44,"")</f>
      </c>
      <c r="BH44" s="375">
        <f>IF(BH$8=$E44,$AB44,"")</f>
      </c>
      <c r="BI44" s="375">
        <f>IF(BI$8=$E44,$AB44,"")</f>
      </c>
      <c r="BJ44" s="375">
        <f>IF(BJ$8=$E44,$AB44,"")</f>
      </c>
      <c r="BK44" s="375">
        <f>IF(BK$8=$E44,$AB44,"")</f>
      </c>
      <c r="BL44" s="375">
        <f>IF(BL$8=$E44,$AB44,"")</f>
      </c>
      <c r="BP44" s="376">
        <f>IF(BP$8=$E44,$AD44,"")</f>
      </c>
      <c r="BQ44" s="376">
        <f>IF(BQ$8=$E44,$AD44,"")</f>
      </c>
      <c r="BR44" s="376">
        <f>IF(BR$8=$E44,$AD44,"")</f>
      </c>
      <c r="BS44" s="376">
        <f>IF(BS$8=$E44,$AD44,"")</f>
      </c>
      <c r="BT44" s="376">
        <f>IF(BT$8=$E44,$AD44,"")</f>
      </c>
      <c r="BU44" s="376">
        <f>IF(BU$8=$E44,$AD44,"")</f>
      </c>
      <c r="BV44" s="376">
        <f>IF(BV$8=$E44,$AD44,"")</f>
      </c>
      <c r="BW44" s="376">
        <f>IF(BW$8=$E44,$AD44,"")</f>
      </c>
      <c r="BX44" s="376">
        <f>IF(BX$8=$E44,$AD44,"")</f>
      </c>
      <c r="BY44" s="376">
        <f>IF(BY$8=$E44,$AD44,"")</f>
      </c>
      <c r="BZ44" s="376">
        <f>IF(BZ$8=$E44,$AD44,"")</f>
      </c>
      <c r="CA44" s="376">
        <f>IF(CA$8=$E44,$AD44,"")</f>
      </c>
      <c r="CB44" s="376">
        <f>IF(CB$8=$E44,$AD44,"")</f>
      </c>
      <c r="CC44" s="376">
        <f>IF(CC$8=$E44,$AD44,"")</f>
      </c>
      <c r="CD44" s="376">
        <f>IF(CD$8=$E44,$AD44,"")</f>
      </c>
    </row>
    <row r="45" spans="2:82" ht="12.75">
      <c r="B45" s="369"/>
      <c r="C45" s="369"/>
      <c r="D45" s="267"/>
      <c r="E45" s="350"/>
      <c r="F45" s="351"/>
      <c r="G45" s="267"/>
      <c r="H45" s="369"/>
      <c r="I45" s="267"/>
      <c r="J45" s="352"/>
      <c r="K45" s="267"/>
      <c r="L45" s="369"/>
      <c r="M45" s="377"/>
      <c r="N45" s="354"/>
      <c r="O45" s="644"/>
      <c r="P45" s="644"/>
      <c r="Q45" s="267"/>
      <c r="R45" s="359"/>
      <c r="S45" s="267"/>
      <c r="T45" s="360"/>
      <c r="U45" s="356"/>
      <c r="V45" s="357"/>
      <c r="W45" s="358">
        <f>U45*V45/9</f>
        <v>0</v>
      </c>
      <c r="X45" s="645"/>
      <c r="Y45" s="646">
        <f>ROUND(U45/5280,1)</f>
        <v>0</v>
      </c>
      <c r="Z45" s="646"/>
      <c r="AA45" s="361"/>
      <c r="AB45" s="362">
        <f>W45*0.45/240</f>
        <v>0</v>
      </c>
      <c r="AC45" s="363"/>
      <c r="AD45" s="364">
        <f>W45*30/2000</f>
        <v>0</v>
      </c>
      <c r="AE45" s="364"/>
      <c r="AF45" s="365">
        <f>W45*0.13/240</f>
        <v>0</v>
      </c>
      <c r="AG45" s="388"/>
      <c r="AH45" s="343">
        <f>ROUND((AB45*$J$59)+(AD45*$J$61)+(AF45*$J$63),0)</f>
        <v>0</v>
      </c>
      <c r="AI45" s="378">
        <f t="shared" si="2"/>
        <v>580270</v>
      </c>
      <c r="AJ45" s="378"/>
      <c r="AK45" s="369"/>
      <c r="AL45" s="369"/>
      <c r="AM45" s="370"/>
      <c r="AN45" s="369"/>
      <c r="AO45" s="369"/>
      <c r="AP45" s="371"/>
      <c r="AQ45" s="372"/>
      <c r="AR45" s="373">
        <f>IF(AQ45="","",ROUND(AD45-AQ45,0))</f>
      </c>
      <c r="AS45" s="253"/>
      <c r="AT45" s="374"/>
      <c r="AX45" s="375">
        <f>IF(AX$8=$E45,$AB45,"")</f>
      </c>
      <c r="AY45" s="375">
        <f>IF(AY$8=$E45,$AB45,"")</f>
      </c>
      <c r="AZ45" s="375">
        <f>IF(AZ$8=$E45,$AB45,"")</f>
      </c>
      <c r="BA45" s="375">
        <f>IF(BA$8=$E45,$AB45,"")</f>
      </c>
      <c r="BB45" s="375">
        <f>IF(BB$8=$E45,$AB45,"")</f>
      </c>
      <c r="BC45" s="375">
        <f>IF(BC$8=$E45,$AB45,"")</f>
      </c>
      <c r="BD45" s="375">
        <f>IF(BD$8=$E45,$AB45,"")</f>
      </c>
      <c r="BE45" s="375">
        <f>IF(BE$8=$E45,$AB45,"")</f>
      </c>
      <c r="BF45" s="375">
        <f>IF(BF$8=$E45,$AB45,"")</f>
      </c>
      <c r="BG45" s="375">
        <f>IF(BG$8=$E45,$AB45,"")</f>
      </c>
      <c r="BH45" s="375">
        <f>IF(BH$8=$E45,$AB45,"")</f>
      </c>
      <c r="BI45" s="375">
        <f>IF(BI$8=$E45,$AB45,"")</f>
      </c>
      <c r="BJ45" s="375">
        <f>IF(BJ$8=$E45,$AB45,"")</f>
      </c>
      <c r="BK45" s="375">
        <f>IF(BK$8=$E45,$AB45,"")</f>
      </c>
      <c r="BL45" s="375">
        <f>IF(BL$8=$E45,$AB45,"")</f>
      </c>
      <c r="BP45" s="376">
        <f>IF(BP$8=$E45,$AD45,"")</f>
      </c>
      <c r="BQ45" s="376">
        <f>IF(BQ$8=$E45,$AD45,"")</f>
      </c>
      <c r="BR45" s="376">
        <f>IF(BR$8=$E45,$AD45,"")</f>
      </c>
      <c r="BS45" s="376">
        <f>IF(BS$8=$E45,$AD45,"")</f>
      </c>
      <c r="BT45" s="376">
        <f>IF(BT$8=$E45,$AD45,"")</f>
      </c>
      <c r="BU45" s="376">
        <f>IF(BU$8=$E45,$AD45,"")</f>
      </c>
      <c r="BV45" s="376">
        <f>IF(BV$8=$E45,$AD45,"")</f>
      </c>
      <c r="BW45" s="376">
        <f>IF(BW$8=$E45,$AD45,"")</f>
      </c>
      <c r="BX45" s="376">
        <f>IF(BX$8=$E45,$AD45,"")</f>
      </c>
      <c r="BY45" s="376">
        <f>IF(BY$8=$E45,$AD45,"")</f>
      </c>
      <c r="BZ45" s="376">
        <f>IF(BZ$8=$E45,$AD45,"")</f>
      </c>
      <c r="CA45" s="376">
        <f>IF(CA$8=$E45,$AD45,"")</f>
      </c>
      <c r="CB45" s="376">
        <f>IF(CB$8=$E45,$AD45,"")</f>
      </c>
      <c r="CC45" s="376">
        <f>IF(CC$8=$E45,$AD45,"")</f>
      </c>
      <c r="CD45" s="376">
        <f>IF(CD$8=$E45,$AD45,"")</f>
      </c>
    </row>
    <row r="46" spans="2:82" ht="12.75">
      <c r="B46" s="369"/>
      <c r="C46" s="369"/>
      <c r="D46" s="267"/>
      <c r="E46" s="350"/>
      <c r="F46" s="351"/>
      <c r="G46" s="267"/>
      <c r="H46" s="369"/>
      <c r="I46" s="267"/>
      <c r="J46" s="352"/>
      <c r="K46" s="267"/>
      <c r="L46" s="369"/>
      <c r="M46" s="377"/>
      <c r="N46" s="354"/>
      <c r="O46" s="644"/>
      <c r="P46" s="644"/>
      <c r="Q46" s="267"/>
      <c r="R46" s="359"/>
      <c r="S46" s="267"/>
      <c r="T46" s="360"/>
      <c r="U46" s="356"/>
      <c r="V46" s="357"/>
      <c r="W46" s="358">
        <f>U46*V46/9</f>
        <v>0</v>
      </c>
      <c r="X46" s="645"/>
      <c r="Y46" s="646">
        <f>ROUND(U46/5280,1)</f>
        <v>0</v>
      </c>
      <c r="Z46" s="646"/>
      <c r="AA46" s="361"/>
      <c r="AB46" s="362">
        <f>W46*0.45/240</f>
        <v>0</v>
      </c>
      <c r="AC46" s="363"/>
      <c r="AD46" s="364">
        <f>W46*30/2000</f>
        <v>0</v>
      </c>
      <c r="AE46" s="364"/>
      <c r="AF46" s="365">
        <f>W46*0.13/240</f>
        <v>0</v>
      </c>
      <c r="AG46" s="388"/>
      <c r="AH46" s="343">
        <f>ROUND((AB46*$J$59)+(AD46*$J$61)+(AF46*$J$63),0)</f>
        <v>0</v>
      </c>
      <c r="AI46" s="378">
        <f t="shared" si="2"/>
        <v>580270</v>
      </c>
      <c r="AJ46" s="378"/>
      <c r="AK46" s="369"/>
      <c r="AL46" s="369"/>
      <c r="AM46" s="370"/>
      <c r="AN46" s="369"/>
      <c r="AO46" s="369"/>
      <c r="AP46" s="371"/>
      <c r="AQ46" s="372"/>
      <c r="AR46" s="373">
        <f>IF(AQ46="","",ROUND(AD46-AQ46,0))</f>
      </c>
      <c r="AS46" s="253"/>
      <c r="AT46" s="374"/>
      <c r="AX46" s="375">
        <f>IF(AX$8=$E46,$AB46,"")</f>
      </c>
      <c r="AY46" s="375">
        <f>IF(AY$8=$E46,$AB46,"")</f>
      </c>
      <c r="AZ46" s="375">
        <f>IF(AZ$8=$E46,$AB46,"")</f>
      </c>
      <c r="BA46" s="375">
        <f>IF(BA$8=$E46,$AB46,"")</f>
      </c>
      <c r="BB46" s="375">
        <f>IF(BB$8=$E46,$AB46,"")</f>
      </c>
      <c r="BC46" s="375">
        <f>IF(BC$8=$E46,$AB46,"")</f>
      </c>
      <c r="BD46" s="375">
        <f>IF(BD$8=$E46,$AB46,"")</f>
      </c>
      <c r="BE46" s="375">
        <f>IF(BE$8=$E46,$AB46,"")</f>
      </c>
      <c r="BF46" s="375">
        <f>IF(BF$8=$E46,$AB46,"")</f>
      </c>
      <c r="BG46" s="375">
        <f>IF(BG$8=$E46,$AB46,"")</f>
      </c>
      <c r="BH46" s="375">
        <f>IF(BH$8=$E46,$AB46,"")</f>
      </c>
      <c r="BI46" s="375">
        <f>IF(BI$8=$E46,$AB46,"")</f>
      </c>
      <c r="BJ46" s="375">
        <f>IF(BJ$8=$E46,$AB46,"")</f>
      </c>
      <c r="BK46" s="375">
        <f>IF(BK$8=$E46,$AB46,"")</f>
      </c>
      <c r="BL46" s="375">
        <f>IF(BL$8=$E46,$AB46,"")</f>
      </c>
      <c r="BP46" s="376">
        <f>IF(BP$8=$E46,$AD46,"")</f>
      </c>
      <c r="BQ46" s="376">
        <f>IF(BQ$8=$E46,$AD46,"")</f>
      </c>
      <c r="BR46" s="376">
        <f>IF(BR$8=$E46,$AD46,"")</f>
      </c>
      <c r="BS46" s="376">
        <f>IF(BS$8=$E46,$AD46,"")</f>
      </c>
      <c r="BT46" s="376">
        <f>IF(BT$8=$E46,$AD46,"")</f>
      </c>
      <c r="BU46" s="376">
        <f>IF(BU$8=$E46,$AD46,"")</f>
      </c>
      <c r="BV46" s="376">
        <f>IF(BV$8=$E46,$AD46,"")</f>
      </c>
      <c r="BW46" s="376">
        <f>IF(BW$8=$E46,$AD46,"")</f>
      </c>
      <c r="BX46" s="376">
        <f>IF(BX$8=$E46,$AD46,"")</f>
      </c>
      <c r="BY46" s="376">
        <f>IF(BY$8=$E46,$AD46,"")</f>
      </c>
      <c r="BZ46" s="376">
        <f>IF(BZ$8=$E46,$AD46,"")</f>
      </c>
      <c r="CA46" s="376">
        <f>IF(CA$8=$E46,$AD46,"")</f>
      </c>
      <c r="CB46" s="376">
        <f>IF(CB$8=$E46,$AD46,"")</f>
      </c>
      <c r="CC46" s="376">
        <f>IF(CC$8=$E46,$AD46,"")</f>
      </c>
      <c r="CD46" s="376">
        <f>IF(CD$8=$E46,$AD46,"")</f>
      </c>
    </row>
    <row r="47" spans="2:82" ht="12.75">
      <c r="B47" s="369"/>
      <c r="C47" s="369"/>
      <c r="D47" s="267"/>
      <c r="E47" s="350"/>
      <c r="F47" s="351"/>
      <c r="G47" s="267"/>
      <c r="H47" s="369"/>
      <c r="I47" s="267"/>
      <c r="J47" s="352"/>
      <c r="K47" s="267"/>
      <c r="L47" s="369"/>
      <c r="M47" s="377"/>
      <c r="N47" s="354"/>
      <c r="O47" s="644"/>
      <c r="P47" s="644"/>
      <c r="Q47" s="267"/>
      <c r="R47" s="359"/>
      <c r="S47" s="267"/>
      <c r="T47" s="360"/>
      <c r="U47" s="356"/>
      <c r="V47" s="357"/>
      <c r="W47" s="358">
        <f>U47*V47/9</f>
        <v>0</v>
      </c>
      <c r="X47" s="645"/>
      <c r="Y47" s="646">
        <f>ROUND(U47/5280,1)</f>
        <v>0</v>
      </c>
      <c r="Z47" s="646"/>
      <c r="AA47" s="361"/>
      <c r="AB47" s="362">
        <f>W47*0.45/240</f>
        <v>0</v>
      </c>
      <c r="AC47" s="363"/>
      <c r="AD47" s="364">
        <f>W47*30/2000</f>
        <v>0</v>
      </c>
      <c r="AE47" s="364"/>
      <c r="AF47" s="365">
        <f>W47*0.13/240</f>
        <v>0</v>
      </c>
      <c r="AG47" s="388"/>
      <c r="AH47" s="343">
        <f>ROUND((AB47*$J$59)+(AD47*$J$61)+(AF47*$J$63),0)</f>
        <v>0</v>
      </c>
      <c r="AI47" s="378">
        <f t="shared" si="2"/>
        <v>580270</v>
      </c>
      <c r="AJ47" s="378"/>
      <c r="AK47" s="369"/>
      <c r="AL47" s="369"/>
      <c r="AM47" s="370"/>
      <c r="AN47" s="369"/>
      <c r="AO47" s="369"/>
      <c r="AP47" s="371"/>
      <c r="AQ47" s="372"/>
      <c r="AR47" s="373">
        <f>IF(AQ47="","",ROUND(AD47-AQ47,0))</f>
      </c>
      <c r="AS47" s="253"/>
      <c r="AT47" s="374"/>
      <c r="AX47" s="375">
        <f>IF(AX$8=$E47,$AB47,"")</f>
      </c>
      <c r="AY47" s="375">
        <f>IF(AY$8=$E47,$AB47,"")</f>
      </c>
      <c r="AZ47" s="375">
        <f>IF(AZ$8=$E47,$AB47,"")</f>
      </c>
      <c r="BA47" s="375">
        <f>IF(BA$8=$E47,$AB47,"")</f>
      </c>
      <c r="BB47" s="375">
        <f>IF(BB$8=$E47,$AB47,"")</f>
      </c>
      <c r="BC47" s="375">
        <f>IF(BC$8=$E47,$AB47,"")</f>
      </c>
      <c r="BD47" s="375">
        <f>IF(BD$8=$E47,$AB47,"")</f>
      </c>
      <c r="BE47" s="375">
        <f>IF(BE$8=$E47,$AB47,"")</f>
      </c>
      <c r="BF47" s="375">
        <f>IF(BF$8=$E47,$AB47,"")</f>
      </c>
      <c r="BG47" s="375">
        <f>IF(BG$8=$E47,$AB47,"")</f>
      </c>
      <c r="BH47" s="375">
        <f>IF(BH$8=$E47,$AB47,"")</f>
      </c>
      <c r="BI47" s="375">
        <f>IF(BI$8=$E47,$AB47,"")</f>
      </c>
      <c r="BJ47" s="375">
        <f>IF(BJ$8=$E47,$AB47,"")</f>
      </c>
      <c r="BK47" s="375">
        <f>IF(BK$8=$E47,$AB47,"")</f>
      </c>
      <c r="BL47" s="375">
        <f>IF(BL$8=$E47,$AB47,"")</f>
      </c>
      <c r="BP47" s="376">
        <f>IF(BP$8=$E47,$AD47,"")</f>
      </c>
      <c r="BQ47" s="376">
        <f>IF(BQ$8=$E47,$AD47,"")</f>
      </c>
      <c r="BR47" s="376">
        <f>IF(BR$8=$E47,$AD47,"")</f>
      </c>
      <c r="BS47" s="376">
        <f>IF(BS$8=$E47,$AD47,"")</f>
      </c>
      <c r="BT47" s="376">
        <f>IF(BT$8=$E47,$AD47,"")</f>
      </c>
      <c r="BU47" s="376">
        <f>IF(BU$8=$E47,$AD47,"")</f>
      </c>
      <c r="BV47" s="376">
        <f>IF(BV$8=$E47,$AD47,"")</f>
      </c>
      <c r="BW47" s="376">
        <f>IF(BW$8=$E47,$AD47,"")</f>
      </c>
      <c r="BX47" s="376">
        <f>IF(BX$8=$E47,$AD47,"")</f>
      </c>
      <c r="BY47" s="376">
        <f>IF(BY$8=$E47,$AD47,"")</f>
      </c>
      <c r="BZ47" s="376">
        <f>IF(BZ$8=$E47,$AD47,"")</f>
      </c>
      <c r="CA47" s="376">
        <f>IF(CA$8=$E47,$AD47,"")</f>
      </c>
      <c r="CB47" s="376">
        <f>IF(CB$8=$E47,$AD47,"")</f>
      </c>
      <c r="CC47" s="376">
        <f>IF(CC$8=$E47,$AD47,"")</f>
      </c>
      <c r="CD47" s="376">
        <f>IF(CD$8=$E47,$AD47,"")</f>
      </c>
    </row>
    <row r="48" spans="2:82" ht="12.75">
      <c r="B48" s="369"/>
      <c r="C48" s="369"/>
      <c r="D48" s="267"/>
      <c r="E48" s="350"/>
      <c r="F48" s="351"/>
      <c r="G48" s="267"/>
      <c r="H48" s="369"/>
      <c r="I48" s="267"/>
      <c r="J48" s="352"/>
      <c r="K48" s="267"/>
      <c r="L48" s="369"/>
      <c r="M48" s="377"/>
      <c r="N48" s="354"/>
      <c r="O48" s="644"/>
      <c r="P48" s="644"/>
      <c r="Q48" s="267"/>
      <c r="R48" s="359"/>
      <c r="S48" s="267"/>
      <c r="T48" s="360"/>
      <c r="U48" s="356"/>
      <c r="V48" s="357"/>
      <c r="W48" s="358">
        <f>U48*V48/9</f>
        <v>0</v>
      </c>
      <c r="X48" s="645"/>
      <c r="Y48" s="646">
        <f>ROUND(U48/5280,1)</f>
        <v>0</v>
      </c>
      <c r="Z48" s="646"/>
      <c r="AA48" s="361"/>
      <c r="AB48" s="362">
        <f>W48*0.45/240</f>
        <v>0</v>
      </c>
      <c r="AC48" s="363"/>
      <c r="AD48" s="364">
        <f>W48*30/2000</f>
        <v>0</v>
      </c>
      <c r="AE48" s="364"/>
      <c r="AF48" s="365">
        <f>W48*0.13/240</f>
        <v>0</v>
      </c>
      <c r="AG48" s="388"/>
      <c r="AH48" s="343">
        <f>ROUND((AB48*$J$59)+(AD48*$J$61)+(AF48*$J$63),0)</f>
        <v>0</v>
      </c>
      <c r="AI48" s="378">
        <f t="shared" si="2"/>
        <v>580270</v>
      </c>
      <c r="AJ48" s="378"/>
      <c r="AK48" s="369"/>
      <c r="AL48" s="369"/>
      <c r="AM48" s="370"/>
      <c r="AN48" s="369"/>
      <c r="AO48" s="369"/>
      <c r="AP48" s="371"/>
      <c r="AQ48" s="372"/>
      <c r="AR48" s="373">
        <f>IF(AQ48="","",ROUND(AD48-AQ48,0))</f>
      </c>
      <c r="AS48" s="253"/>
      <c r="AT48" s="374"/>
      <c r="AX48" s="375">
        <f>IF(AX$8=$E48,$AB48,"")</f>
      </c>
      <c r="AY48" s="375">
        <f>IF(AY$8=$E48,$AB48,"")</f>
      </c>
      <c r="AZ48" s="375">
        <f>IF(AZ$8=$E48,$AB48,"")</f>
      </c>
      <c r="BA48" s="375">
        <f>IF(BA$8=$E48,$AB48,"")</f>
      </c>
      <c r="BB48" s="375">
        <f>IF(BB$8=$E48,$AB48,"")</f>
      </c>
      <c r="BC48" s="375">
        <f>IF(BC$8=$E48,$AB48,"")</f>
      </c>
      <c r="BD48" s="375">
        <f>IF(BD$8=$E48,$AB48,"")</f>
      </c>
      <c r="BE48" s="375">
        <f>IF(BE$8=$E48,$AB48,"")</f>
      </c>
      <c r="BF48" s="375">
        <f>IF(BF$8=$E48,$AB48,"")</f>
      </c>
      <c r="BG48" s="375">
        <f>IF(BG$8=$E48,$AB48,"")</f>
      </c>
      <c r="BH48" s="375">
        <f>IF(BH$8=$E48,$AB48,"")</f>
      </c>
      <c r="BI48" s="375">
        <f>IF(BI$8=$E48,$AB48,"")</f>
      </c>
      <c r="BJ48" s="375">
        <f>IF(BJ$8=$E48,$AB48,"")</f>
      </c>
      <c r="BK48" s="375">
        <f>IF(BK$8=$E48,$AB48,"")</f>
      </c>
      <c r="BL48" s="375">
        <f>IF(BL$8=$E48,$AB48,"")</f>
      </c>
      <c r="BP48" s="376">
        <f>IF(BP$8=$E48,$AD48,"")</f>
      </c>
      <c r="BQ48" s="376">
        <f>IF(BQ$8=$E48,$AD48,"")</f>
      </c>
      <c r="BR48" s="376">
        <f>IF(BR$8=$E48,$AD48,"")</f>
      </c>
      <c r="BS48" s="376">
        <f>IF(BS$8=$E48,$AD48,"")</f>
      </c>
      <c r="BT48" s="376">
        <f>IF(BT$8=$E48,$AD48,"")</f>
      </c>
      <c r="BU48" s="376">
        <f>IF(BU$8=$E48,$AD48,"")</f>
      </c>
      <c r="BV48" s="376">
        <f>IF(BV$8=$E48,$AD48,"")</f>
      </c>
      <c r="BW48" s="376">
        <f>IF(BW$8=$E48,$AD48,"")</f>
      </c>
      <c r="BX48" s="376">
        <f>IF(BX$8=$E48,$AD48,"")</f>
      </c>
      <c r="BY48" s="376">
        <f>IF(BY$8=$E48,$AD48,"")</f>
      </c>
      <c r="BZ48" s="376">
        <f>IF(BZ$8=$E48,$AD48,"")</f>
      </c>
      <c r="CA48" s="376">
        <f>IF(CA$8=$E48,$AD48,"")</f>
      </c>
      <c r="CB48" s="376">
        <f>IF(CB$8=$E48,$AD48,"")</f>
      </c>
      <c r="CC48" s="376">
        <f>IF(CC$8=$E48,$AD48,"")</f>
      </c>
      <c r="CD48" s="376">
        <f>IF(CD$8=$E48,$AD48,"")</f>
      </c>
    </row>
    <row r="49" spans="2:82" ht="12.75">
      <c r="B49" s="369"/>
      <c r="C49" s="369"/>
      <c r="D49" s="267"/>
      <c r="E49" s="350"/>
      <c r="F49" s="351"/>
      <c r="G49" s="267"/>
      <c r="H49" s="369"/>
      <c r="I49" s="267"/>
      <c r="J49" s="352"/>
      <c r="K49" s="267"/>
      <c r="L49" s="369"/>
      <c r="M49" s="377"/>
      <c r="N49" s="354"/>
      <c r="O49" s="644"/>
      <c r="P49" s="644"/>
      <c r="Q49" s="267"/>
      <c r="R49" s="359"/>
      <c r="S49" s="267"/>
      <c r="T49" s="360"/>
      <c r="U49" s="356"/>
      <c r="V49" s="357"/>
      <c r="W49" s="358">
        <f>U49*V49/9</f>
        <v>0</v>
      </c>
      <c r="X49" s="645"/>
      <c r="Y49" s="646">
        <f>ROUND(U49/5280,1)</f>
        <v>0</v>
      </c>
      <c r="Z49" s="646"/>
      <c r="AA49" s="361"/>
      <c r="AB49" s="362">
        <f>W49*0.45/240</f>
        <v>0</v>
      </c>
      <c r="AC49" s="363"/>
      <c r="AD49" s="364">
        <f>W49*30/2000</f>
        <v>0</v>
      </c>
      <c r="AE49" s="364"/>
      <c r="AF49" s="365">
        <f>W49*0.13/240</f>
        <v>0</v>
      </c>
      <c r="AG49" s="388"/>
      <c r="AH49" s="343">
        <f>ROUND((AB49*$J$59)+(AD49*$J$61)+(AF49*$J$63),0)</f>
        <v>0</v>
      </c>
      <c r="AI49" s="378">
        <f t="shared" si="2"/>
        <v>580270</v>
      </c>
      <c r="AJ49" s="378"/>
      <c r="AK49" s="369"/>
      <c r="AL49" s="369"/>
      <c r="AM49" s="370"/>
      <c r="AN49" s="369"/>
      <c r="AO49" s="369"/>
      <c r="AP49" s="371"/>
      <c r="AQ49" s="372"/>
      <c r="AR49" s="373">
        <f>IF(AQ49="","",ROUND(AD49-AQ49,0))</f>
      </c>
      <c r="AS49" s="253"/>
      <c r="AT49" s="374"/>
      <c r="AX49" s="375">
        <f>IF(AX$8=$E49,$AB49,"")</f>
      </c>
      <c r="AY49" s="375">
        <f>IF(AY$8=$E49,$AB49,"")</f>
      </c>
      <c r="AZ49" s="375">
        <f>IF(AZ$8=$E49,$AB49,"")</f>
      </c>
      <c r="BA49" s="375">
        <f>IF(BA$8=$E49,$AB49,"")</f>
      </c>
      <c r="BB49" s="375">
        <f>IF(BB$8=$E49,$AB49,"")</f>
      </c>
      <c r="BC49" s="375">
        <f>IF(BC$8=$E49,$AB49,"")</f>
      </c>
      <c r="BD49" s="375">
        <f>IF(BD$8=$E49,$AB49,"")</f>
      </c>
      <c r="BE49" s="375">
        <f>IF(BE$8=$E49,$AB49,"")</f>
      </c>
      <c r="BF49" s="375">
        <f>IF(BF$8=$E49,$AB49,"")</f>
      </c>
      <c r="BG49" s="375">
        <f>IF(BG$8=$E49,$AB49,"")</f>
      </c>
      <c r="BH49" s="375">
        <f>IF(BH$8=$E49,$AB49,"")</f>
      </c>
      <c r="BI49" s="375">
        <f>IF(BI$8=$E49,$AB49,"")</f>
      </c>
      <c r="BJ49" s="375">
        <f>IF(BJ$8=$E49,$AB49,"")</f>
      </c>
      <c r="BK49" s="375">
        <f>IF(BK$8=$E49,$AB49,"")</f>
      </c>
      <c r="BL49" s="375">
        <f>IF(BL$8=$E49,$AB49,"")</f>
      </c>
      <c r="BP49" s="376">
        <f>IF(BP$8=$E49,$AD49,"")</f>
      </c>
      <c r="BQ49" s="376">
        <f>IF(BQ$8=$E49,$AD49,"")</f>
      </c>
      <c r="BR49" s="376">
        <f>IF(BR$8=$E49,$AD49,"")</f>
      </c>
      <c r="BS49" s="376">
        <f>IF(BS$8=$E49,$AD49,"")</f>
      </c>
      <c r="BT49" s="376">
        <f>IF(BT$8=$E49,$AD49,"")</f>
      </c>
      <c r="BU49" s="376">
        <f>IF(BU$8=$E49,$AD49,"")</f>
      </c>
      <c r="BV49" s="376">
        <f>IF(BV$8=$E49,$AD49,"")</f>
      </c>
      <c r="BW49" s="376">
        <f>IF(BW$8=$E49,$AD49,"")</f>
      </c>
      <c r="BX49" s="376">
        <f>IF(BX$8=$E49,$AD49,"")</f>
      </c>
      <c r="BY49" s="376">
        <f>IF(BY$8=$E49,$AD49,"")</f>
      </c>
      <c r="BZ49" s="376">
        <f>IF(BZ$8=$E49,$AD49,"")</f>
      </c>
      <c r="CA49" s="376">
        <f>IF(CA$8=$E49,$AD49,"")</f>
      </c>
      <c r="CB49" s="376">
        <f>IF(CB$8=$E49,$AD49,"")</f>
      </c>
      <c r="CC49" s="376">
        <f>IF(CC$8=$E49,$AD49,"")</f>
      </c>
      <c r="CD49" s="376">
        <f>IF(CD$8=$E49,$AD49,"")</f>
      </c>
    </row>
    <row r="50" spans="2:82" ht="3.75" customHeight="1">
      <c r="B50" s="267"/>
      <c r="C50" s="267"/>
      <c r="D50" s="267"/>
      <c r="E50" s="350"/>
      <c r="F50" s="351"/>
      <c r="G50" s="267"/>
      <c r="H50" s="267"/>
      <c r="I50" s="267"/>
      <c r="J50" s="267"/>
      <c r="K50" s="267"/>
      <c r="L50" s="267"/>
      <c r="M50" s="332"/>
      <c r="N50" s="333"/>
      <c r="O50" s="333"/>
      <c r="P50" s="333"/>
      <c r="Q50" s="267"/>
      <c r="R50" s="336"/>
      <c r="S50" s="267"/>
      <c r="T50" s="337"/>
      <c r="U50" s="334"/>
      <c r="V50" s="267"/>
      <c r="W50" s="335"/>
      <c r="X50" s="340"/>
      <c r="Y50" s="261"/>
      <c r="Z50" s="261"/>
      <c r="AA50" s="338"/>
      <c r="AB50" s="339"/>
      <c r="AC50" s="338"/>
      <c r="AD50" s="340"/>
      <c r="AF50" s="341"/>
      <c r="AG50" s="342"/>
      <c r="AH50" s="343"/>
      <c r="AI50" s="407"/>
      <c r="AJ50" s="407"/>
      <c r="AK50" s="408"/>
      <c r="AL50" s="369"/>
      <c r="AM50" s="370"/>
      <c r="AN50" s="369"/>
      <c r="AO50" s="369"/>
      <c r="AP50" s="369"/>
      <c r="AQ50" s="409"/>
      <c r="AR50" s="410"/>
      <c r="AS50" s="369"/>
      <c r="AT50" s="349"/>
      <c r="AX50" s="411"/>
      <c r="AY50" s="411"/>
      <c r="AZ50" s="411"/>
      <c r="BA50" s="411"/>
      <c r="BB50" s="411"/>
      <c r="BC50" s="411"/>
      <c r="BD50" s="411"/>
      <c r="BE50" s="411"/>
      <c r="BF50" s="411"/>
      <c r="BG50" s="411"/>
      <c r="BH50" s="411"/>
      <c r="BI50" s="411"/>
      <c r="BJ50" s="411"/>
      <c r="BK50" s="411"/>
      <c r="BL50" s="411"/>
      <c r="BP50" s="412"/>
      <c r="BQ50" s="412"/>
      <c r="BR50" s="412"/>
      <c r="BS50" s="412"/>
      <c r="BT50" s="412"/>
      <c r="BU50" s="412"/>
      <c r="BV50" s="412"/>
      <c r="BW50" s="412"/>
      <c r="BX50" s="412"/>
      <c r="BY50" s="412"/>
      <c r="BZ50" s="412"/>
      <c r="CA50" s="412"/>
      <c r="CB50" s="412"/>
      <c r="CC50" s="412"/>
      <c r="CD50" s="412"/>
    </row>
    <row r="51" spans="2:83" ht="6" customHeight="1">
      <c r="B51" s="311"/>
      <c r="C51" s="311"/>
      <c r="D51" s="311"/>
      <c r="E51" s="413"/>
      <c r="F51" s="414"/>
      <c r="G51" s="311"/>
      <c r="H51" s="311"/>
      <c r="I51" s="311"/>
      <c r="J51" s="311"/>
      <c r="K51" s="311"/>
      <c r="L51" s="311"/>
      <c r="M51" s="314"/>
      <c r="N51" s="315"/>
      <c r="O51" s="315"/>
      <c r="P51" s="315"/>
      <c r="Q51" s="311"/>
      <c r="R51" s="318"/>
      <c r="S51" s="311"/>
      <c r="T51" s="319"/>
      <c r="U51" s="316"/>
      <c r="V51" s="311"/>
      <c r="W51" s="317"/>
      <c r="X51" s="322"/>
      <c r="Y51" s="640"/>
      <c r="Z51" s="640"/>
      <c r="AA51" s="320"/>
      <c r="AB51" s="321"/>
      <c r="AC51" s="320"/>
      <c r="AD51" s="322"/>
      <c r="AE51" s="322"/>
      <c r="AF51" s="323"/>
      <c r="AG51" s="324"/>
      <c r="AH51" s="325"/>
      <c r="AI51" s="326"/>
      <c r="AJ51" s="326"/>
      <c r="AK51" s="311"/>
      <c r="AL51" s="311"/>
      <c r="AM51" s="311"/>
      <c r="AN51" s="311"/>
      <c r="AO51" s="311"/>
      <c r="AP51" s="311"/>
      <c r="AQ51" s="415"/>
      <c r="AR51" s="416"/>
      <c r="AS51" s="311"/>
      <c r="AT51" s="329"/>
      <c r="AU51" s="311"/>
      <c r="AW51" s="311"/>
      <c r="AX51" s="417"/>
      <c r="AY51" s="417"/>
      <c r="AZ51" s="417"/>
      <c r="BA51" s="417"/>
      <c r="BB51" s="417"/>
      <c r="BC51" s="417"/>
      <c r="BD51" s="417"/>
      <c r="BE51" s="417"/>
      <c r="BF51" s="417"/>
      <c r="BG51" s="417"/>
      <c r="BH51" s="417"/>
      <c r="BI51" s="417"/>
      <c r="BJ51" s="417"/>
      <c r="BK51" s="417"/>
      <c r="BL51" s="417"/>
      <c r="BM51" s="311"/>
      <c r="BO51" s="311"/>
      <c r="BP51" s="418"/>
      <c r="BQ51" s="418"/>
      <c r="BR51" s="418"/>
      <c r="BS51" s="418"/>
      <c r="BT51" s="418"/>
      <c r="BU51" s="418"/>
      <c r="BV51" s="418"/>
      <c r="BW51" s="418"/>
      <c r="BX51" s="418"/>
      <c r="BY51" s="418"/>
      <c r="BZ51" s="418"/>
      <c r="CA51" s="418"/>
      <c r="CB51" s="418"/>
      <c r="CC51" s="418"/>
      <c r="CD51" s="418"/>
      <c r="CE51" s="311"/>
    </row>
    <row r="52" spans="2:82" ht="3.75" customHeight="1">
      <c r="B52" s="267"/>
      <c r="C52" s="267"/>
      <c r="D52" s="267"/>
      <c r="E52" s="350"/>
      <c r="F52" s="351"/>
      <c r="G52" s="267"/>
      <c r="H52" s="267"/>
      <c r="I52" s="267"/>
      <c r="J52" s="267"/>
      <c r="K52" s="267"/>
      <c r="L52" s="267"/>
      <c r="M52" s="332"/>
      <c r="N52" s="333"/>
      <c r="O52" s="333"/>
      <c r="P52" s="333"/>
      <c r="Q52" s="267"/>
      <c r="R52" s="336"/>
      <c r="S52" s="267"/>
      <c r="T52" s="337"/>
      <c r="U52" s="334"/>
      <c r="V52" s="267"/>
      <c r="W52" s="335"/>
      <c r="X52" s="340"/>
      <c r="Y52" s="261"/>
      <c r="Z52" s="261"/>
      <c r="AA52" s="338"/>
      <c r="AB52" s="339"/>
      <c r="AC52" s="338"/>
      <c r="AD52" s="340"/>
      <c r="AF52" s="341"/>
      <c r="AG52" s="342"/>
      <c r="AH52" s="343"/>
      <c r="AI52" s="407"/>
      <c r="AJ52" s="407"/>
      <c r="AK52" s="419"/>
      <c r="AL52" s="267"/>
      <c r="AM52" s="267"/>
      <c r="AN52" s="267"/>
      <c r="AO52" s="267"/>
      <c r="AP52" s="267"/>
      <c r="AQ52" s="420"/>
      <c r="AR52" s="410"/>
      <c r="AS52" s="267"/>
      <c r="AT52" s="349"/>
      <c r="AX52" s="411"/>
      <c r="AY52" s="411"/>
      <c r="AZ52" s="411"/>
      <c r="BA52" s="411"/>
      <c r="BB52" s="411"/>
      <c r="BC52" s="411"/>
      <c r="BD52" s="411"/>
      <c r="BE52" s="411"/>
      <c r="BF52" s="411"/>
      <c r="BG52" s="411"/>
      <c r="BH52" s="411"/>
      <c r="BI52" s="411"/>
      <c r="BJ52" s="411"/>
      <c r="BK52" s="411"/>
      <c r="BL52" s="411"/>
      <c r="BP52" s="412"/>
      <c r="BQ52" s="412"/>
      <c r="BR52" s="412"/>
      <c r="BS52" s="412"/>
      <c r="BT52" s="412"/>
      <c r="BU52" s="412"/>
      <c r="BV52" s="412"/>
      <c r="BW52" s="412"/>
      <c r="BX52" s="412"/>
      <c r="BY52" s="412"/>
      <c r="BZ52" s="412"/>
      <c r="CA52" s="412"/>
      <c r="CB52" s="412"/>
      <c r="CC52" s="412"/>
      <c r="CD52" s="412"/>
    </row>
    <row r="53" spans="2:82" ht="11.25" customHeight="1" thickBot="1">
      <c r="B53" s="267"/>
      <c r="C53" s="267"/>
      <c r="D53" s="267"/>
      <c r="E53" s="421"/>
      <c r="F53" s="422"/>
      <c r="G53" s="267"/>
      <c r="H53" s="267"/>
      <c r="I53" s="267"/>
      <c r="J53" s="267"/>
      <c r="K53" s="267"/>
      <c r="L53" s="267"/>
      <c r="M53" s="332"/>
      <c r="N53" s="333"/>
      <c r="O53" s="333"/>
      <c r="Q53" s="267"/>
      <c r="R53" s="425"/>
      <c r="S53" s="267"/>
      <c r="T53" s="689" t="s">
        <v>391</v>
      </c>
      <c r="U53" s="690"/>
      <c r="V53" s="691" t="s">
        <v>436</v>
      </c>
      <c r="W53" s="358"/>
      <c r="X53" s="645"/>
      <c r="Y53" s="692"/>
      <c r="Z53" s="692"/>
      <c r="AA53" s="361"/>
      <c r="AB53" s="693" t="str">
        <f>+AB2</f>
        <v>Emulsified</v>
      </c>
      <c r="AC53" s="361"/>
      <c r="AD53" s="694" t="str">
        <f>+AD2</f>
        <v> 3/8"</v>
      </c>
      <c r="AE53" s="695"/>
      <c r="AF53" s="696" t="str">
        <f>+AF2</f>
        <v>Fog</v>
      </c>
      <c r="AG53" s="366"/>
      <c r="AH53" s="697"/>
      <c r="AI53" s="427"/>
      <c r="AJ53" s="427"/>
      <c r="AK53" s="267"/>
      <c r="AL53" s="267"/>
      <c r="AM53" s="267"/>
      <c r="AN53" s="267"/>
      <c r="AO53" s="267"/>
      <c r="AP53" s="267"/>
      <c r="AQ53" s="428"/>
      <c r="AR53" s="410"/>
      <c r="AS53" s="267"/>
      <c r="AT53" s="429" t="s">
        <v>384</v>
      </c>
      <c r="AX53" s="430">
        <f>SUM(AX11:AX51)</f>
        <v>107.16395833333334</v>
      </c>
      <c r="AY53" s="430">
        <f aca="true" t="shared" si="3" ref="AY53:BL53">SUM(AY11:AY51)</f>
        <v>0</v>
      </c>
      <c r="AZ53" s="430">
        <f t="shared" si="3"/>
        <v>6.915625</v>
      </c>
      <c r="BA53" s="430">
        <f t="shared" si="3"/>
        <v>0</v>
      </c>
      <c r="BB53" s="430">
        <f t="shared" si="3"/>
        <v>0</v>
      </c>
      <c r="BC53" s="430">
        <f t="shared" si="3"/>
        <v>0</v>
      </c>
      <c r="BD53" s="430">
        <f t="shared" si="3"/>
        <v>0</v>
      </c>
      <c r="BE53" s="430">
        <f t="shared" si="3"/>
        <v>0</v>
      </c>
      <c r="BF53" s="430">
        <f t="shared" si="3"/>
        <v>0</v>
      </c>
      <c r="BG53" s="430">
        <f t="shared" si="3"/>
        <v>0</v>
      </c>
      <c r="BH53" s="430">
        <f t="shared" si="3"/>
        <v>0</v>
      </c>
      <c r="BI53" s="430">
        <f t="shared" si="3"/>
        <v>0</v>
      </c>
      <c r="BJ53" s="430">
        <f t="shared" si="3"/>
        <v>0</v>
      </c>
      <c r="BK53" s="430">
        <f t="shared" si="3"/>
        <v>0</v>
      </c>
      <c r="BL53" s="430">
        <f t="shared" si="3"/>
        <v>0</v>
      </c>
      <c r="BP53" s="431">
        <f>SUM(BP11:BP51)</f>
        <v>857.3116666666666</v>
      </c>
      <c r="BQ53" s="431">
        <f aca="true" t="shared" si="4" ref="BQ53:CD53">SUM(BQ11:BQ51)</f>
        <v>0</v>
      </c>
      <c r="BR53" s="431">
        <f t="shared" si="4"/>
        <v>55.325</v>
      </c>
      <c r="BS53" s="431">
        <f t="shared" si="4"/>
        <v>0</v>
      </c>
      <c r="BT53" s="431">
        <f t="shared" si="4"/>
        <v>0</v>
      </c>
      <c r="BU53" s="431">
        <f t="shared" si="4"/>
        <v>0</v>
      </c>
      <c r="BV53" s="431">
        <f t="shared" si="4"/>
        <v>0</v>
      </c>
      <c r="BW53" s="431">
        <f t="shared" si="4"/>
        <v>0</v>
      </c>
      <c r="BX53" s="431">
        <f t="shared" si="4"/>
        <v>0</v>
      </c>
      <c r="BY53" s="431">
        <f t="shared" si="4"/>
        <v>0</v>
      </c>
      <c r="BZ53" s="431">
        <f t="shared" si="4"/>
        <v>0</v>
      </c>
      <c r="CA53" s="431">
        <f t="shared" si="4"/>
        <v>0</v>
      </c>
      <c r="CB53" s="431">
        <f t="shared" si="4"/>
        <v>0</v>
      </c>
      <c r="CC53" s="431">
        <f t="shared" si="4"/>
        <v>0</v>
      </c>
      <c r="CD53" s="431">
        <f t="shared" si="4"/>
        <v>0</v>
      </c>
    </row>
    <row r="54" spans="2:83" ht="14.25" thickBot="1" thickTop="1"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332"/>
      <c r="N54" s="333"/>
      <c r="O54" s="333"/>
      <c r="P54" s="698"/>
      <c r="Q54" s="267"/>
      <c r="R54" s="432"/>
      <c r="S54" s="267"/>
      <c r="T54" s="699" t="s">
        <v>436</v>
      </c>
      <c r="U54" s="700" t="str">
        <f>+U5</f>
        <v>Length</v>
      </c>
      <c r="V54" s="701" t="str">
        <f>+V5</f>
        <v>Width</v>
      </c>
      <c r="W54" s="702" t="str">
        <f>+W6</f>
        <v>Sq Yds</v>
      </c>
      <c r="X54" s="703"/>
      <c r="Y54" s="704" t="str">
        <f>+Y6</f>
        <v>Miles</v>
      </c>
      <c r="Z54" s="703"/>
      <c r="AA54" s="694"/>
      <c r="AB54" s="705" t="str">
        <f>+AB5</f>
        <v>Oil</v>
      </c>
      <c r="AC54" s="694"/>
      <c r="AD54" s="704" t="str">
        <f>+AD5</f>
        <v>Aggregate</v>
      </c>
      <c r="AE54" s="694"/>
      <c r="AF54" s="706" t="str">
        <f>+AF5</f>
        <v>Oil</v>
      </c>
      <c r="AG54" s="694"/>
      <c r="AH54" s="707" t="str">
        <f>+AH5</f>
        <v>Material</v>
      </c>
      <c r="AI54" s="427"/>
      <c r="AJ54" s="427"/>
      <c r="AK54" s="267"/>
      <c r="AL54" s="267"/>
      <c r="AM54" s="267"/>
      <c r="AN54" s="267"/>
      <c r="AO54" s="267"/>
      <c r="AP54" s="267"/>
      <c r="AQ54" s="433" t="str">
        <f>+AQ5</f>
        <v>Used</v>
      </c>
      <c r="AR54" s="434" t="str">
        <f>+AR5</f>
        <v>Difference</v>
      </c>
      <c r="AS54" s="267"/>
      <c r="AT54" s="435" t="s">
        <v>437</v>
      </c>
      <c r="AW54" s="436"/>
      <c r="AX54" s="437">
        <f>IF(AX53=0,"",ROUND(AX53/200,1))</f>
        <v>0.5</v>
      </c>
      <c r="AY54" s="437">
        <f aca="true" t="shared" si="5" ref="AY54:BL54">IF(AY53=0,"",ROUND(AY53/200,1))</f>
      </c>
      <c r="AZ54" s="437">
        <f t="shared" si="5"/>
        <v>0</v>
      </c>
      <c r="BA54" s="437">
        <f t="shared" si="5"/>
      </c>
      <c r="BB54" s="437">
        <f t="shared" si="5"/>
      </c>
      <c r="BC54" s="437">
        <f t="shared" si="5"/>
      </c>
      <c r="BD54" s="437">
        <f t="shared" si="5"/>
      </c>
      <c r="BE54" s="437">
        <f t="shared" si="5"/>
      </c>
      <c r="BF54" s="437">
        <f t="shared" si="5"/>
      </c>
      <c r="BG54" s="437">
        <f t="shared" si="5"/>
      </c>
      <c r="BH54" s="437">
        <f t="shared" si="5"/>
      </c>
      <c r="BI54" s="437">
        <f t="shared" si="5"/>
      </c>
      <c r="BJ54" s="437">
        <f t="shared" si="5"/>
      </c>
      <c r="BK54" s="437">
        <f t="shared" si="5"/>
      </c>
      <c r="BL54" s="437">
        <f t="shared" si="5"/>
      </c>
      <c r="BM54" s="438"/>
      <c r="BN54" s="437" t="s">
        <v>438</v>
      </c>
      <c r="BO54" s="438"/>
      <c r="BP54" s="437">
        <f>IF(BP53=0,"",ROUND(BP53/11,1))</f>
        <v>77.9</v>
      </c>
      <c r="BQ54" s="437">
        <f aca="true" t="shared" si="6" ref="BQ54:CD54">IF(BQ53=0,"",ROUND(BQ53/11,1))</f>
      </c>
      <c r="BR54" s="437">
        <f t="shared" si="6"/>
        <v>5</v>
      </c>
      <c r="BS54" s="437">
        <f t="shared" si="6"/>
      </c>
      <c r="BT54" s="437">
        <f t="shared" si="6"/>
      </c>
      <c r="BU54" s="437">
        <f t="shared" si="6"/>
      </c>
      <c r="BV54" s="437">
        <f t="shared" si="6"/>
      </c>
      <c r="BW54" s="437">
        <f t="shared" si="6"/>
      </c>
      <c r="BX54" s="437">
        <f t="shared" si="6"/>
      </c>
      <c r="BY54" s="437">
        <f t="shared" si="6"/>
      </c>
      <c r="BZ54" s="437">
        <f t="shared" si="6"/>
      </c>
      <c r="CA54" s="437">
        <f t="shared" si="6"/>
      </c>
      <c r="CB54" s="437">
        <f t="shared" si="6"/>
      </c>
      <c r="CC54" s="437">
        <f t="shared" si="6"/>
      </c>
      <c r="CD54" s="437">
        <f t="shared" si="6"/>
      </c>
      <c r="CE54" s="439"/>
    </row>
    <row r="55" spans="15:82" ht="19.5" thickBot="1" thickTop="1">
      <c r="O55" s="256"/>
      <c r="R55" s="440" t="s">
        <v>439</v>
      </c>
      <c r="T55" s="708">
        <f>AVERAGE(T11:T51)</f>
        <v>74.5</v>
      </c>
      <c r="U55" s="424">
        <f>SUM(U11:U51)</f>
        <v>161290</v>
      </c>
      <c r="V55" s="709">
        <f>AVERAGE(V11:V51)</f>
        <v>23.21875</v>
      </c>
      <c r="W55" s="441">
        <f>SUM(W11:W51)</f>
        <v>386590.7777777778</v>
      </c>
      <c r="X55" s="444"/>
      <c r="Y55" s="710">
        <f>ROUND(U55/5280,1)</f>
        <v>30.5</v>
      </c>
      <c r="Z55" s="710"/>
      <c r="AA55" s="442"/>
      <c r="AB55" s="443">
        <f>SUM(AB11:AB51)</f>
        <v>724.8577083333336</v>
      </c>
      <c r="AC55" s="442"/>
      <c r="AD55" s="444">
        <f>SUM(AD11:AD51)</f>
        <v>5798.8616666666685</v>
      </c>
      <c r="AE55" s="444"/>
      <c r="AF55" s="445">
        <f>SUM(AF11:AF51)</f>
        <v>209.40333796296295</v>
      </c>
      <c r="AG55" s="446"/>
      <c r="AH55" s="447">
        <f>SUM(AH11:AH51)</f>
        <v>589390</v>
      </c>
      <c r="AI55" s="448"/>
      <c r="AJ55" s="448"/>
      <c r="AK55" s="267"/>
      <c r="AL55" s="267"/>
      <c r="AQ55" s="450">
        <f>SUM(AQ11:AQ51)</f>
        <v>0</v>
      </c>
      <c r="AR55" s="451">
        <f>SUM(AR11:AR51)</f>
        <v>0</v>
      </c>
      <c r="AT55" s="452">
        <f>SUM(AT11:AT51)</f>
        <v>209898.3333333333</v>
      </c>
      <c r="AX55" s="430">
        <f>SUM(AX53:BL53)</f>
        <v>114.07958333333335</v>
      </c>
      <c r="AY55" s="453" t="s">
        <v>440</v>
      </c>
      <c r="AZ55" s="411"/>
      <c r="BA55" s="454" t="s">
        <v>441</v>
      </c>
      <c r="BB55" s="411"/>
      <c r="BC55" s="411"/>
      <c r="BD55" s="411"/>
      <c r="BE55" s="411"/>
      <c r="BF55" s="411"/>
      <c r="BG55" s="411"/>
      <c r="BH55" s="411"/>
      <c r="BI55" s="411"/>
      <c r="BJ55" s="411"/>
      <c r="BK55" s="411"/>
      <c r="BL55" s="411"/>
      <c r="BP55" s="431">
        <f>SUM(BP53:CD53)</f>
        <v>912.6366666666667</v>
      </c>
      <c r="BQ55" s="455" t="s">
        <v>440</v>
      </c>
      <c r="BR55" s="412"/>
      <c r="BS55" s="454" t="s">
        <v>442</v>
      </c>
      <c r="BT55" s="412"/>
      <c r="BU55" s="412"/>
      <c r="BV55" s="412"/>
      <c r="BW55" s="412"/>
      <c r="BX55" s="412"/>
      <c r="BY55" s="412"/>
      <c r="BZ55" s="412"/>
      <c r="CA55" s="412"/>
      <c r="CB55" s="412"/>
      <c r="CC55" s="412"/>
      <c r="CD55" s="412"/>
    </row>
    <row r="56" spans="16:44" ht="9" customHeight="1" thickBot="1">
      <c r="P56" s="333"/>
      <c r="R56" s="425"/>
      <c r="T56" s="424"/>
      <c r="U56" s="424"/>
      <c r="V56" s="440"/>
      <c r="W56" s="423"/>
      <c r="X56" s="426"/>
      <c r="Y56" s="261"/>
      <c r="Z56" s="261"/>
      <c r="AA56" s="456"/>
      <c r="AB56" s="457"/>
      <c r="AC56" s="456"/>
      <c r="AD56" s="458"/>
      <c r="AE56" s="458"/>
      <c r="AF56" s="459"/>
      <c r="AG56" s="460"/>
      <c r="AH56" s="461"/>
      <c r="AI56" s="448"/>
      <c r="AJ56" s="462"/>
      <c r="AQ56" s="463"/>
      <c r="AR56" s="464"/>
    </row>
    <row r="57" spans="2:44" ht="19.5" customHeight="1" thickBot="1">
      <c r="B57" s="711" t="s">
        <v>580</v>
      </c>
      <c r="C57" s="712"/>
      <c r="D57" s="712"/>
      <c r="E57" s="712"/>
      <c r="F57" s="712"/>
      <c r="G57" s="712"/>
      <c r="H57" s="712"/>
      <c r="I57" s="712"/>
      <c r="J57" s="712"/>
      <c r="K57" s="713"/>
      <c r="P57" s="714"/>
      <c r="Q57" s="467"/>
      <c r="R57" s="467"/>
      <c r="S57" s="467"/>
      <c r="T57" s="465" t="s">
        <v>443</v>
      </c>
      <c r="U57" s="466">
        <f>ROUND($AH$63/U55,2)</f>
        <v>4.22</v>
      </c>
      <c r="V57" s="467"/>
      <c r="W57" s="468">
        <f>ROUND($AH$63/W55,2)</f>
        <v>1.76</v>
      </c>
      <c r="X57" s="466"/>
      <c r="Y57" s="715">
        <f>ROUND($AH$63/Y55,2)</f>
        <v>22331.25</v>
      </c>
      <c r="Z57" s="261"/>
      <c r="AA57" s="470"/>
      <c r="AB57" s="471">
        <f>ROUND(AB55*$J$59,0)</f>
        <v>434915</v>
      </c>
      <c r="AC57" s="470"/>
      <c r="AD57" s="470">
        <f>ROUND(AD55*$J$61,0)</f>
        <v>81184</v>
      </c>
      <c r="AE57" s="470"/>
      <c r="AF57" s="472">
        <f>ROUND(AF55*$J$63,0)</f>
        <v>73291</v>
      </c>
      <c r="AG57" s="470"/>
      <c r="AH57" s="473">
        <f>SUM(AB57:AF57)</f>
        <v>589390</v>
      </c>
      <c r="AI57" s="474" t="s">
        <v>444</v>
      </c>
      <c r="AJ57" s="475"/>
      <c r="AK57" s="476"/>
      <c r="AQ57" s="469"/>
      <c r="AR57" s="469"/>
    </row>
    <row r="58" spans="2:45" s="257" customFormat="1" ht="6.75" customHeight="1" thickBot="1">
      <c r="B58" s="716"/>
      <c r="C58" s="717"/>
      <c r="D58" s="717"/>
      <c r="E58" s="717"/>
      <c r="F58" s="717"/>
      <c r="G58" s="717"/>
      <c r="H58" s="717"/>
      <c r="I58" s="717"/>
      <c r="J58" s="717"/>
      <c r="K58" s="718"/>
      <c r="L58" s="477"/>
      <c r="M58" s="477"/>
      <c r="N58" s="477"/>
      <c r="O58" s="597"/>
      <c r="P58" s="597"/>
      <c r="Q58" s="256"/>
      <c r="R58" s="597"/>
      <c r="S58" s="256"/>
      <c r="T58" s="597"/>
      <c r="U58" s="477"/>
      <c r="Y58" s="477"/>
      <c r="Z58" s="477"/>
      <c r="AA58" s="479"/>
      <c r="AB58" s="483"/>
      <c r="AC58" s="479"/>
      <c r="AD58" s="482"/>
      <c r="AE58" s="482"/>
      <c r="AF58" s="484"/>
      <c r="AG58" s="479"/>
      <c r="AH58" s="485"/>
      <c r="AI58" s="486"/>
      <c r="AJ58" s="480"/>
      <c r="AK58" s="481"/>
      <c r="AL58" s="280"/>
      <c r="AM58" s="280"/>
      <c r="AN58" s="280"/>
      <c r="AO58" s="280"/>
      <c r="AP58" s="280"/>
      <c r="AQ58" s="482"/>
      <c r="AR58" s="482"/>
      <c r="AS58" s="280"/>
    </row>
    <row r="59" spans="2:45" ht="19.5" customHeight="1" thickBot="1">
      <c r="B59" s="716"/>
      <c r="C59" s="717"/>
      <c r="D59" s="717"/>
      <c r="E59" s="717"/>
      <c r="F59" s="717"/>
      <c r="G59" s="717"/>
      <c r="H59" s="719" t="s">
        <v>596</v>
      </c>
      <c r="I59" s="717"/>
      <c r="J59" s="720">
        <v>600</v>
      </c>
      <c r="K59" s="718"/>
      <c r="P59" s="256"/>
      <c r="R59" s="256"/>
      <c r="T59" s="256"/>
      <c r="W59" s="488"/>
      <c r="X59" s="488"/>
      <c r="Y59" s="487"/>
      <c r="Z59" s="487" t="s">
        <v>597</v>
      </c>
      <c r="AA59" s="489"/>
      <c r="AB59" s="490">
        <f>ROUND(AB$55*$J$66,0)</f>
        <v>36243</v>
      </c>
      <c r="AC59" s="489"/>
      <c r="AD59" s="491"/>
      <c r="AE59" s="491"/>
      <c r="AF59" s="492">
        <f>ROUND(AF55*$J$66,0)</f>
        <v>10470</v>
      </c>
      <c r="AG59" s="489"/>
      <c r="AH59" s="473">
        <f>SUM(AB59:AF59)</f>
        <v>46713</v>
      </c>
      <c r="AI59" s="493" t="s">
        <v>445</v>
      </c>
      <c r="AJ59" s="480"/>
      <c r="AM59" s="333" t="s">
        <v>446</v>
      </c>
      <c r="AN59" s="267"/>
      <c r="AO59" s="476"/>
      <c r="AP59" s="267"/>
      <c r="AQ59" s="482"/>
      <c r="AR59" s="482"/>
      <c r="AS59" s="267"/>
    </row>
    <row r="60" spans="2:44" ht="6.75" customHeight="1" thickBot="1">
      <c r="B60" s="716"/>
      <c r="C60" s="717"/>
      <c r="D60" s="717"/>
      <c r="E60" s="717"/>
      <c r="F60" s="717"/>
      <c r="G60" s="717"/>
      <c r="H60" s="717"/>
      <c r="I60" s="717"/>
      <c r="J60" s="721"/>
      <c r="K60" s="718"/>
      <c r="AA60" s="494"/>
      <c r="AB60" s="495"/>
      <c r="AC60" s="494"/>
      <c r="AD60" s="496"/>
      <c r="AE60" s="496"/>
      <c r="AF60" s="497"/>
      <c r="AG60" s="498"/>
      <c r="AH60" s="146"/>
      <c r="AI60" s="400"/>
      <c r="AJ60" s="257"/>
      <c r="AQ60" s="499"/>
      <c r="AR60" s="500"/>
    </row>
    <row r="61" spans="2:45" ht="19.5" customHeight="1" thickBot="1">
      <c r="B61" s="716"/>
      <c r="C61" s="717"/>
      <c r="D61" s="717"/>
      <c r="E61" s="717"/>
      <c r="F61" s="717"/>
      <c r="G61" s="717"/>
      <c r="H61" s="719" t="s">
        <v>598</v>
      </c>
      <c r="I61" s="717"/>
      <c r="J61" s="722">
        <v>14</v>
      </c>
      <c r="K61" s="718"/>
      <c r="N61" s="587"/>
      <c r="Q61" s="723"/>
      <c r="R61" s="723"/>
      <c r="S61" s="723"/>
      <c r="T61" s="723"/>
      <c r="U61" s="723"/>
      <c r="V61" s="724"/>
      <c r="W61" s="487"/>
      <c r="X61" s="487" t="s">
        <v>599</v>
      </c>
      <c r="Y61" s="725">
        <f>(J70+J72)*10</f>
        <v>180</v>
      </c>
      <c r="Z61" s="726"/>
      <c r="AA61" s="489"/>
      <c r="AB61" s="490">
        <f>+J70*10*$J$68</f>
        <v>27500</v>
      </c>
      <c r="AC61" s="489"/>
      <c r="AD61" s="727"/>
      <c r="AE61" s="728"/>
      <c r="AF61" s="492">
        <f>+J72*10*$J$68</f>
        <v>17500</v>
      </c>
      <c r="AG61" s="489"/>
      <c r="AH61" s="473">
        <f>+AF61+AB61</f>
        <v>45000</v>
      </c>
      <c r="AI61" s="493" t="s">
        <v>447</v>
      </c>
      <c r="AJ61" s="480"/>
      <c r="AL61" s="267"/>
      <c r="AM61" s="267"/>
      <c r="AN61" s="267"/>
      <c r="AO61" s="267"/>
      <c r="AP61" s="267"/>
      <c r="AQ61" s="503"/>
      <c r="AR61" s="482"/>
      <c r="AS61" s="267"/>
    </row>
    <row r="62" spans="2:44" ht="6.75" customHeight="1" thickBot="1">
      <c r="B62" s="716"/>
      <c r="C62" s="717"/>
      <c r="D62" s="717"/>
      <c r="E62" s="717"/>
      <c r="F62" s="717"/>
      <c r="G62" s="717"/>
      <c r="H62" s="717"/>
      <c r="I62" s="717"/>
      <c r="J62" s="721"/>
      <c r="K62" s="718"/>
      <c r="AB62" s="504"/>
      <c r="AD62" s="302"/>
      <c r="AE62" s="302"/>
      <c r="AF62" s="505"/>
      <c r="AH62" s="146"/>
      <c r="AI62" s="400"/>
      <c r="AJ62" s="257"/>
      <c r="AQ62" s="275"/>
      <c r="AR62" s="275"/>
    </row>
    <row r="63" spans="2:44" ht="19.5" customHeight="1" thickBot="1">
      <c r="B63" s="716"/>
      <c r="C63" s="717"/>
      <c r="D63" s="717"/>
      <c r="E63" s="717"/>
      <c r="F63" s="717"/>
      <c r="G63" s="717"/>
      <c r="H63" s="719" t="s">
        <v>600</v>
      </c>
      <c r="I63" s="717"/>
      <c r="J63" s="720">
        <v>350</v>
      </c>
      <c r="K63" s="718"/>
      <c r="O63" s="506"/>
      <c r="P63" s="507" t="s">
        <v>581</v>
      </c>
      <c r="Q63" s="508"/>
      <c r="R63" s="729">
        <f>+AH61+AH59</f>
        <v>91713</v>
      </c>
      <c r="S63" s="506"/>
      <c r="T63" s="730">
        <f>+R63/AH63</f>
        <v>0.1346536426942768</v>
      </c>
      <c r="U63" s="508" t="s">
        <v>448</v>
      </c>
      <c r="W63" s="509"/>
      <c r="X63" s="509"/>
      <c r="Y63" s="510"/>
      <c r="Z63" s="510" t="s">
        <v>449</v>
      </c>
      <c r="AA63" s="511"/>
      <c r="AB63" s="512">
        <f>+AB57+AB59+AB61</f>
        <v>498658</v>
      </c>
      <c r="AC63" s="513"/>
      <c r="AD63" s="513">
        <f>+AD57+AD59+J72</f>
        <v>81191</v>
      </c>
      <c r="AE63" s="513"/>
      <c r="AF63" s="514">
        <f>+AF57+AF59+AF61</f>
        <v>101261</v>
      </c>
      <c r="AG63" s="511"/>
      <c r="AH63" s="515">
        <f>SUM(AH57:AH61)</f>
        <v>681103</v>
      </c>
      <c r="AI63" s="516" t="s">
        <v>450</v>
      </c>
      <c r="AJ63" s="257"/>
      <c r="AL63" s="731">
        <f>SUM(AB63:AF63)-AH63</f>
        <v>7</v>
      </c>
      <c r="AM63" s="732" t="s">
        <v>582</v>
      </c>
      <c r="AN63" s="733"/>
      <c r="AQ63" s="517"/>
      <c r="AR63" s="517"/>
    </row>
    <row r="64" spans="2:44" s="257" customFormat="1" ht="4.5" customHeight="1">
      <c r="B64" s="716"/>
      <c r="C64" s="717"/>
      <c r="D64" s="717"/>
      <c r="E64" s="717"/>
      <c r="F64" s="717"/>
      <c r="G64" s="717"/>
      <c r="H64" s="717"/>
      <c r="I64" s="717"/>
      <c r="J64" s="721"/>
      <c r="K64" s="718"/>
      <c r="L64" s="478"/>
      <c r="M64" s="478"/>
      <c r="N64" s="478"/>
      <c r="O64" s="734"/>
      <c r="P64" s="734"/>
      <c r="Q64" s="256"/>
      <c r="R64" s="735"/>
      <c r="S64" s="302"/>
      <c r="T64" s="735"/>
      <c r="U64" s="736"/>
      <c r="V64" s="737"/>
      <c r="W64" s="518"/>
      <c r="X64" s="518"/>
      <c r="Y64" s="478"/>
      <c r="Z64" s="478"/>
      <c r="AA64" s="469"/>
      <c r="AB64" s="519"/>
      <c r="AC64" s="469"/>
      <c r="AD64" s="469"/>
      <c r="AE64" s="469"/>
      <c r="AF64" s="520"/>
      <c r="AG64" s="469"/>
      <c r="AH64" s="521"/>
      <c r="AI64" s="486"/>
      <c r="AJ64" s="480"/>
      <c r="AK64" s="481"/>
      <c r="AQ64" s="469"/>
      <c r="AR64" s="469"/>
    </row>
    <row r="65" spans="2:44" ht="6.75" customHeight="1" thickBot="1">
      <c r="B65" s="716"/>
      <c r="C65" s="717"/>
      <c r="D65" s="717"/>
      <c r="E65" s="717"/>
      <c r="F65" s="717"/>
      <c r="G65" s="717"/>
      <c r="H65" s="717"/>
      <c r="I65" s="717"/>
      <c r="J65" s="721"/>
      <c r="K65" s="718"/>
      <c r="M65" s="478"/>
      <c r="N65" s="478"/>
      <c r="O65" s="738"/>
      <c r="P65" s="302"/>
      <c r="R65" s="739"/>
      <c r="S65" s="740"/>
      <c r="T65" s="741"/>
      <c r="U65" s="741"/>
      <c r="V65" s="742"/>
      <c r="W65" s="743"/>
      <c r="AB65" s="504"/>
      <c r="AD65" s="302"/>
      <c r="AE65" s="302"/>
      <c r="AF65" s="505"/>
      <c r="AH65" s="146"/>
      <c r="AI65" s="400"/>
      <c r="AJ65" s="257"/>
      <c r="AQ65" s="275"/>
      <c r="AR65" s="275"/>
    </row>
    <row r="66" spans="2:66" s="529" customFormat="1" ht="13.5" thickTop="1">
      <c r="B66" s="744"/>
      <c r="C66" s="745"/>
      <c r="D66" s="745"/>
      <c r="E66" s="745"/>
      <c r="F66" s="745"/>
      <c r="G66" s="745"/>
      <c r="H66" s="719" t="s">
        <v>601</v>
      </c>
      <c r="I66" s="745"/>
      <c r="J66" s="720">
        <v>50</v>
      </c>
      <c r="K66" s="746"/>
      <c r="L66" s="522"/>
      <c r="M66" s="478"/>
      <c r="O66" s="747"/>
      <c r="P66" s="523"/>
      <c r="Q66" s="748"/>
      <c r="R66" s="749"/>
      <c r="S66" s="750"/>
      <c r="T66" s="751" t="s">
        <v>452</v>
      </c>
      <c r="U66" s="752"/>
      <c r="V66" s="753" t="s">
        <v>451</v>
      </c>
      <c r="W66" s="754"/>
      <c r="X66" s="755"/>
      <c r="Y66" s="755"/>
      <c r="Z66" s="755"/>
      <c r="AA66" s="756"/>
      <c r="AB66" s="757" t="str">
        <f>+AB54</f>
        <v>Oil</v>
      </c>
      <c r="AC66" s="756"/>
      <c r="AD66" s="751" t="str">
        <f>+AD54</f>
        <v>Aggregate</v>
      </c>
      <c r="AE66" s="758"/>
      <c r="AF66" s="759" t="str">
        <f>+AF54</f>
        <v>Oil</v>
      </c>
      <c r="AG66" s="524"/>
      <c r="AH66" s="525"/>
      <c r="AI66" s="526"/>
      <c r="AJ66" s="527"/>
      <c r="AK66" s="528"/>
      <c r="AQ66" s="530"/>
      <c r="AR66" s="531"/>
      <c r="BN66" s="532"/>
    </row>
    <row r="67" spans="2:44" ht="3" customHeight="1">
      <c r="B67" s="716"/>
      <c r="C67" s="717"/>
      <c r="D67" s="717"/>
      <c r="E67" s="717"/>
      <c r="F67" s="717"/>
      <c r="G67" s="717"/>
      <c r="H67" s="717"/>
      <c r="I67" s="717"/>
      <c r="J67" s="721"/>
      <c r="K67" s="718"/>
      <c r="L67" s="478"/>
      <c r="M67" s="478"/>
      <c r="O67" s="541"/>
      <c r="P67" s="533"/>
      <c r="Q67" s="533"/>
      <c r="R67" s="760"/>
      <c r="S67" s="533"/>
      <c r="T67" s="533"/>
      <c r="U67" s="533"/>
      <c r="V67" s="533"/>
      <c r="W67" s="761"/>
      <c r="X67" s="533"/>
      <c r="Y67" s="533"/>
      <c r="Z67" s="533"/>
      <c r="AA67" s="534"/>
      <c r="AB67" s="535"/>
      <c r="AC67" s="534"/>
      <c r="AD67" s="534"/>
      <c r="AE67" s="534"/>
      <c r="AF67" s="536"/>
      <c r="AG67" s="534"/>
      <c r="AH67" s="537"/>
      <c r="AI67" s="538"/>
      <c r="AJ67" s="539"/>
      <c r="AK67" s="476"/>
      <c r="AQ67" s="540"/>
      <c r="AR67" s="368"/>
    </row>
    <row r="68" spans="2:44" ht="12.75">
      <c r="B68" s="716"/>
      <c r="C68" s="717"/>
      <c r="D68" s="717"/>
      <c r="E68" s="717"/>
      <c r="F68" s="717"/>
      <c r="G68" s="717"/>
      <c r="H68" s="762" t="s">
        <v>602</v>
      </c>
      <c r="I68" s="717"/>
      <c r="J68" s="720">
        <v>250</v>
      </c>
      <c r="K68" s="718"/>
      <c r="L68" s="478"/>
      <c r="M68" s="478"/>
      <c r="O68" s="763"/>
      <c r="P68" s="542" t="s">
        <v>453</v>
      </c>
      <c r="Q68" s="764"/>
      <c r="R68" s="765"/>
      <c r="S68" s="764" t="s">
        <v>583</v>
      </c>
      <c r="T68" s="766">
        <f>ROUND(($AB55+$AF55)*(1+$J$74),0)</f>
        <v>981</v>
      </c>
      <c r="U68" s="767"/>
      <c r="V68" s="764" t="s">
        <v>584</v>
      </c>
      <c r="W68" s="768">
        <f>ROUND($Y$61*(1+$J$74),0)</f>
        <v>189</v>
      </c>
      <c r="X68" s="769"/>
      <c r="Y68" s="533"/>
      <c r="Z68" s="533"/>
      <c r="AA68" s="770"/>
      <c r="AB68" s="771">
        <f>ROUND(AB55*(1+$J$74),0)</f>
        <v>761</v>
      </c>
      <c r="AC68" s="772"/>
      <c r="AD68" s="773">
        <f>ROUND(AD55*(1+$J$74),0)</f>
        <v>6089</v>
      </c>
      <c r="AE68" s="774"/>
      <c r="AF68" s="775">
        <f>ROUND(AF55*(1+$J$74),0)</f>
        <v>220</v>
      </c>
      <c r="AG68" s="770"/>
      <c r="AH68" s="537"/>
      <c r="AI68" s="543"/>
      <c r="AJ68" s="544"/>
      <c r="AK68" s="476"/>
      <c r="AQ68" s="545"/>
      <c r="AR68" s="449"/>
    </row>
    <row r="69" spans="2:66" s="501" customFormat="1" ht="3" customHeight="1" thickBot="1">
      <c r="B69" s="776"/>
      <c r="C69" s="777"/>
      <c r="D69" s="777"/>
      <c r="E69" s="777"/>
      <c r="F69" s="777"/>
      <c r="G69" s="777"/>
      <c r="H69" s="777"/>
      <c r="I69" s="777"/>
      <c r="J69" s="778"/>
      <c r="K69" s="779"/>
      <c r="L69" s="546"/>
      <c r="M69" s="478"/>
      <c r="O69" s="780"/>
      <c r="P69" s="557"/>
      <c r="Q69" s="781"/>
      <c r="R69" s="782"/>
      <c r="S69" s="781"/>
      <c r="T69" s="781"/>
      <c r="U69" s="781"/>
      <c r="V69" s="781"/>
      <c r="W69" s="783"/>
      <c r="X69" s="559"/>
      <c r="Y69" s="557"/>
      <c r="Z69" s="557"/>
      <c r="AA69" s="560"/>
      <c r="AB69" s="561"/>
      <c r="AC69" s="560"/>
      <c r="AD69" s="558"/>
      <c r="AE69" s="558"/>
      <c r="AF69" s="562"/>
      <c r="AG69" s="558"/>
      <c r="AH69" s="558"/>
      <c r="AI69" s="547"/>
      <c r="AJ69" s="548"/>
      <c r="AK69" s="549"/>
      <c r="AQ69" s="550"/>
      <c r="AR69" s="551"/>
      <c r="BN69" s="502"/>
    </row>
    <row r="70" spans="2:44" ht="18" customHeight="1" thickBot="1" thickTop="1">
      <c r="B70" s="716"/>
      <c r="C70" s="717"/>
      <c r="D70" s="717"/>
      <c r="E70" s="717"/>
      <c r="F70" s="717"/>
      <c r="G70" s="717"/>
      <c r="H70" s="719" t="s">
        <v>603</v>
      </c>
      <c r="I70" s="717"/>
      <c r="J70" s="784">
        <v>11</v>
      </c>
      <c r="K70" s="718"/>
      <c r="L70" s="478"/>
      <c r="M70" s="478"/>
      <c r="O70" s="785"/>
      <c r="P70" s="786" t="str">
        <f>"Calc Budget $ (with Budgeting Increase Factor of "&amp;TEXT($J$74,"0%")&amp;" )"</f>
        <v>Calc Budget $ (with Budgeting Increase Factor of 5% )</v>
      </c>
      <c r="Q70" s="787"/>
      <c r="R70" s="788"/>
      <c r="S70" s="789"/>
      <c r="T70" s="790">
        <f>ROUND(T68*$J$66,0)</f>
        <v>49050</v>
      </c>
      <c r="U70" s="791" t="s">
        <v>585</v>
      </c>
      <c r="V70" s="792"/>
      <c r="W70" s="793">
        <f>ROUND(W68*J68,0)</f>
        <v>47250</v>
      </c>
      <c r="X70" s="553"/>
      <c r="Y70" s="552"/>
      <c r="Z70" s="552"/>
      <c r="AA70" s="554"/>
      <c r="AB70" s="794">
        <f>ROUND(AB68*$J$59,0)</f>
        <v>456600</v>
      </c>
      <c r="AC70" s="795"/>
      <c r="AD70" s="790">
        <f>ROUND(AD68*$J$61,0)</f>
        <v>85246</v>
      </c>
      <c r="AE70" s="790"/>
      <c r="AF70" s="796">
        <f>ROUND(AF68*$J$63,0)</f>
        <v>77000</v>
      </c>
      <c r="AG70" s="790"/>
      <c r="AH70" s="790">
        <f>SUM(W70:AF70)</f>
        <v>666096</v>
      </c>
      <c r="AI70" s="797" t="s">
        <v>586</v>
      </c>
      <c r="AJ70" s="556"/>
      <c r="AK70" s="476"/>
      <c r="AQ70" s="345"/>
      <c r="AR70" s="449"/>
    </row>
    <row r="71" spans="2:66" s="501" customFormat="1" ht="3" customHeight="1" thickTop="1">
      <c r="B71" s="776"/>
      <c r="C71" s="777"/>
      <c r="D71" s="777"/>
      <c r="E71" s="777"/>
      <c r="F71" s="777"/>
      <c r="G71" s="777"/>
      <c r="H71" s="777"/>
      <c r="I71" s="777"/>
      <c r="J71" s="778"/>
      <c r="K71" s="779"/>
      <c r="L71" s="546"/>
      <c r="M71" s="478"/>
      <c r="N71" s="256"/>
      <c r="O71" s="780"/>
      <c r="P71" s="557"/>
      <c r="Q71" s="798"/>
      <c r="R71" s="799"/>
      <c r="S71" s="798"/>
      <c r="T71" s="781"/>
      <c r="U71" s="800"/>
      <c r="V71" s="801"/>
      <c r="W71" s="783"/>
      <c r="X71" s="559"/>
      <c r="Y71" s="557"/>
      <c r="Z71" s="557"/>
      <c r="AA71" s="560"/>
      <c r="AB71" s="561"/>
      <c r="AC71" s="560"/>
      <c r="AD71" s="558"/>
      <c r="AE71" s="558"/>
      <c r="AF71" s="562"/>
      <c r="AG71" s="558"/>
      <c r="AH71" s="558"/>
      <c r="AI71" s="547"/>
      <c r="AJ71" s="548"/>
      <c r="AK71" s="549"/>
      <c r="AQ71" s="550"/>
      <c r="AR71" s="551"/>
      <c r="BN71" s="502"/>
    </row>
    <row r="72" spans="2:44" ht="12.75">
      <c r="B72" s="716"/>
      <c r="C72" s="717"/>
      <c r="D72" s="717"/>
      <c r="E72" s="717"/>
      <c r="F72" s="717"/>
      <c r="G72" s="717"/>
      <c r="H72" s="719" t="s">
        <v>604</v>
      </c>
      <c r="I72" s="717"/>
      <c r="J72" s="784">
        <v>7</v>
      </c>
      <c r="K72" s="718"/>
      <c r="L72" s="478"/>
      <c r="M72" s="478"/>
      <c r="O72" s="802" t="s">
        <v>587</v>
      </c>
      <c r="P72" s="563" t="s">
        <v>455</v>
      </c>
      <c r="Q72" s="764"/>
      <c r="R72" s="765"/>
      <c r="S72" s="764" t="s">
        <v>583</v>
      </c>
      <c r="T72" s="803">
        <v>1060</v>
      </c>
      <c r="U72" s="767"/>
      <c r="V72" s="764" t="s">
        <v>588</v>
      </c>
      <c r="W72" s="804">
        <v>189</v>
      </c>
      <c r="X72" s="805"/>
      <c r="Y72" s="564"/>
      <c r="Z72" s="564"/>
      <c r="AA72" s="806"/>
      <c r="AB72" s="807">
        <v>823</v>
      </c>
      <c r="AC72" s="806"/>
      <c r="AD72" s="808">
        <v>6582</v>
      </c>
      <c r="AE72" s="808"/>
      <c r="AF72" s="809">
        <v>238</v>
      </c>
      <c r="AG72" s="806"/>
      <c r="AH72" s="565"/>
      <c r="AI72" s="543"/>
      <c r="AJ72" s="544"/>
      <c r="AK72" s="476"/>
      <c r="AQ72" s="566"/>
      <c r="AR72" s="567"/>
    </row>
    <row r="73" spans="2:44" ht="3" customHeight="1">
      <c r="B73" s="716"/>
      <c r="C73" s="717"/>
      <c r="D73" s="717"/>
      <c r="E73" s="717"/>
      <c r="F73" s="717"/>
      <c r="G73" s="717"/>
      <c r="H73" s="717"/>
      <c r="I73" s="717"/>
      <c r="J73" s="721"/>
      <c r="K73" s="718"/>
      <c r="L73" s="478"/>
      <c r="M73" s="478"/>
      <c r="O73" s="810"/>
      <c r="P73" s="568"/>
      <c r="Q73" s="811"/>
      <c r="R73" s="812"/>
      <c r="S73" s="811"/>
      <c r="T73" s="569"/>
      <c r="U73" s="813"/>
      <c r="V73" s="814"/>
      <c r="W73" s="815"/>
      <c r="X73" s="564"/>
      <c r="Y73" s="564"/>
      <c r="Z73" s="564"/>
      <c r="AA73" s="571"/>
      <c r="AB73" s="572"/>
      <c r="AC73" s="571"/>
      <c r="AD73" s="569"/>
      <c r="AE73" s="569"/>
      <c r="AF73" s="573"/>
      <c r="AG73" s="571"/>
      <c r="AH73" s="565"/>
      <c r="AI73" s="543"/>
      <c r="AJ73" s="544"/>
      <c r="AK73" s="476"/>
      <c r="AQ73" s="566"/>
      <c r="AR73" s="567"/>
    </row>
    <row r="74" spans="2:44" ht="12.75">
      <c r="B74" s="716"/>
      <c r="C74" s="717"/>
      <c r="D74" s="717"/>
      <c r="E74" s="717"/>
      <c r="F74" s="717"/>
      <c r="G74" s="717"/>
      <c r="H74" s="719" t="s">
        <v>605</v>
      </c>
      <c r="I74" s="717"/>
      <c r="J74" s="816">
        <v>0.05</v>
      </c>
      <c r="K74" s="718"/>
      <c r="L74" s="478"/>
      <c r="M74" s="478"/>
      <c r="O74" s="763"/>
      <c r="P74" s="563" t="s">
        <v>456</v>
      </c>
      <c r="Q74" s="764"/>
      <c r="R74" s="765"/>
      <c r="S74" s="764" t="s">
        <v>589</v>
      </c>
      <c r="T74" s="817">
        <v>50</v>
      </c>
      <c r="U74" s="767"/>
      <c r="V74" s="818" t="s">
        <v>590</v>
      </c>
      <c r="W74" s="819">
        <v>250</v>
      </c>
      <c r="X74" s="805"/>
      <c r="Y74" s="564"/>
      <c r="Z74" s="564"/>
      <c r="AA74" s="806"/>
      <c r="AB74" s="820">
        <v>600</v>
      </c>
      <c r="AC74" s="806"/>
      <c r="AD74" s="821">
        <v>14</v>
      </c>
      <c r="AE74" s="822"/>
      <c r="AF74" s="823">
        <v>350</v>
      </c>
      <c r="AG74" s="806"/>
      <c r="AH74" s="565"/>
      <c r="AI74" s="543"/>
      <c r="AJ74" s="544"/>
      <c r="AK74" s="476"/>
      <c r="AQ74" s="574"/>
      <c r="AR74" s="567"/>
    </row>
    <row r="75" spans="2:44" ht="13.5" customHeight="1" thickBot="1">
      <c r="B75" s="824"/>
      <c r="C75" s="825"/>
      <c r="D75" s="825"/>
      <c r="E75" s="825"/>
      <c r="F75" s="825"/>
      <c r="G75" s="825"/>
      <c r="H75" s="825"/>
      <c r="I75" s="825"/>
      <c r="J75" s="825"/>
      <c r="K75" s="826"/>
      <c r="L75" s="478"/>
      <c r="M75" s="478"/>
      <c r="O75" s="810"/>
      <c r="P75" s="568"/>
      <c r="Q75" s="811"/>
      <c r="R75" s="827"/>
      <c r="S75" s="828"/>
      <c r="T75" s="829">
        <f>+T74-$J$66</f>
        <v>0</v>
      </c>
      <c r="U75" s="830" t="s">
        <v>591</v>
      </c>
      <c r="V75" s="830"/>
      <c r="W75" s="831">
        <f>+W74-$J$68</f>
        <v>0</v>
      </c>
      <c r="X75" s="832"/>
      <c r="Y75" s="832"/>
      <c r="Z75" s="832"/>
      <c r="AA75" s="833"/>
      <c r="AB75" s="834">
        <f>+AB74-$J$59</f>
        <v>0</v>
      </c>
      <c r="AC75" s="835"/>
      <c r="AD75" s="836">
        <f>+AD74-$J$61</f>
        <v>0</v>
      </c>
      <c r="AE75" s="829"/>
      <c r="AF75" s="837">
        <f>+AF74-$J$63</f>
        <v>0</v>
      </c>
      <c r="AG75" s="833"/>
      <c r="AH75" s="838"/>
      <c r="AI75" s="543"/>
      <c r="AJ75" s="544"/>
      <c r="AK75" s="476"/>
      <c r="AQ75" s="566"/>
      <c r="AR75" s="567"/>
    </row>
    <row r="76" spans="12:44" ht="13.5" thickTop="1">
      <c r="L76" s="478"/>
      <c r="M76" s="478"/>
      <c r="O76" s="763"/>
      <c r="P76" s="563" t="s">
        <v>606</v>
      </c>
      <c r="Q76" s="839"/>
      <c r="R76" s="840"/>
      <c r="S76" s="570"/>
      <c r="T76" s="817">
        <v>49050</v>
      </c>
      <c r="U76" s="841" t="s">
        <v>592</v>
      </c>
      <c r="V76" s="842"/>
      <c r="W76" s="819">
        <v>47250</v>
      </c>
      <c r="X76" s="805"/>
      <c r="Y76" s="564"/>
      <c r="Z76" s="564"/>
      <c r="AA76" s="843"/>
      <c r="AB76" s="820">
        <v>456600</v>
      </c>
      <c r="AC76" s="843"/>
      <c r="AD76" s="822">
        <v>85246</v>
      </c>
      <c r="AE76" s="822"/>
      <c r="AF76" s="823">
        <v>77000</v>
      </c>
      <c r="AG76" s="822"/>
      <c r="AH76" s="844">
        <v>666096</v>
      </c>
      <c r="AI76" s="555" t="s">
        <v>586</v>
      </c>
      <c r="AJ76" s="556"/>
      <c r="AK76" s="476"/>
      <c r="AQ76" s="574"/>
      <c r="AR76" s="567"/>
    </row>
    <row r="77" spans="12:45" ht="16.5" customHeight="1" thickBot="1">
      <c r="L77" s="478"/>
      <c r="M77" s="478"/>
      <c r="O77" s="845"/>
      <c r="P77" s="846" t="s">
        <v>607</v>
      </c>
      <c r="Q77" s="847"/>
      <c r="R77" s="848"/>
      <c r="S77" s="847"/>
      <c r="T77" s="576">
        <f>+T76-AH59</f>
        <v>2337</v>
      </c>
      <c r="U77" s="849" t="s">
        <v>593</v>
      </c>
      <c r="V77" s="850"/>
      <c r="W77" s="851">
        <f>+W76-AH61</f>
        <v>2250</v>
      </c>
      <c r="X77" s="577"/>
      <c r="Y77" s="575"/>
      <c r="Z77" s="575"/>
      <c r="AA77" s="578"/>
      <c r="AB77" s="579">
        <f>+AB76-AB57</f>
        <v>21685</v>
      </c>
      <c r="AC77" s="580"/>
      <c r="AD77" s="576">
        <f>+AD76-AD57</f>
        <v>4062</v>
      </c>
      <c r="AE77" s="576"/>
      <c r="AF77" s="581">
        <f>+AF76-AF57</f>
        <v>3709</v>
      </c>
      <c r="AG77" s="578"/>
      <c r="AH77" s="576">
        <f>SUM(W77:AF77)</f>
        <v>31706</v>
      </c>
      <c r="AI77" s="582" t="s">
        <v>594</v>
      </c>
      <c r="AJ77" s="556"/>
      <c r="AK77" s="476"/>
      <c r="AL77" s="333" t="s">
        <v>454</v>
      </c>
      <c r="AM77" s="267"/>
      <c r="AN77" s="267"/>
      <c r="AO77" s="267"/>
      <c r="AP77" s="267"/>
      <c r="AQ77" s="583"/>
      <c r="AR77" s="584"/>
      <c r="AS77" s="267"/>
    </row>
    <row r="78" spans="13:44" ht="6.75" customHeight="1" thickBot="1" thickTop="1">
      <c r="M78" s="478"/>
      <c r="O78" s="738"/>
      <c r="P78" s="302"/>
      <c r="R78" s="852"/>
      <c r="S78" s="853"/>
      <c r="T78" s="854"/>
      <c r="U78" s="854"/>
      <c r="V78" s="855"/>
      <c r="W78" s="856"/>
      <c r="AB78" s="585"/>
      <c r="AD78" s="302"/>
      <c r="AE78" s="302"/>
      <c r="AF78" s="586"/>
      <c r="AJ78" s="257"/>
      <c r="AQ78" s="275"/>
      <c r="AR78" s="275"/>
    </row>
    <row r="79" spans="13:44" ht="8.25" customHeight="1" thickTop="1">
      <c r="M79" s="478"/>
      <c r="O79" s="738"/>
      <c r="P79" s="738"/>
      <c r="R79" s="738"/>
      <c r="S79" s="302"/>
      <c r="T79" s="738"/>
      <c r="U79" s="302"/>
      <c r="V79" s="302"/>
      <c r="W79" s="302"/>
      <c r="AB79" s="302"/>
      <c r="AD79" s="302"/>
      <c r="AE79" s="302"/>
      <c r="AF79" s="302"/>
      <c r="AJ79" s="257"/>
      <c r="AQ79" s="275"/>
      <c r="AR79" s="275"/>
    </row>
    <row r="80" spans="16:20" ht="12.75">
      <c r="P80" s="256"/>
      <c r="R80" s="256"/>
      <c r="T80" s="256"/>
    </row>
    <row r="81" spans="16:20" ht="12.75">
      <c r="P81" s="256"/>
      <c r="R81" s="256"/>
      <c r="T81" s="256"/>
    </row>
    <row r="82" spans="16:20" ht="12.75">
      <c r="P82" s="256"/>
      <c r="R82" s="256"/>
      <c r="T82" s="256"/>
    </row>
    <row r="83" spans="16:20" ht="12.75">
      <c r="P83" s="256"/>
      <c r="R83" s="256"/>
      <c r="T83" s="256"/>
    </row>
    <row r="84" spans="16:20" ht="12.75">
      <c r="P84" s="256"/>
      <c r="R84" s="256"/>
      <c r="T84" s="256"/>
    </row>
    <row r="85" spans="16:20" ht="12.75">
      <c r="P85" s="256"/>
      <c r="R85" s="256"/>
      <c r="T85" s="256"/>
    </row>
    <row r="86" spans="16:20" ht="12.75">
      <c r="P86" s="256"/>
      <c r="R86" s="256"/>
      <c r="T86" s="256"/>
    </row>
    <row r="87" spans="16:20" ht="12.75">
      <c r="P87" s="256"/>
      <c r="R87" s="256"/>
      <c r="T87" s="256"/>
    </row>
    <row r="88" spans="16:20" ht="12.75">
      <c r="P88" s="256"/>
      <c r="R88" s="256"/>
      <c r="T88" s="256"/>
    </row>
    <row r="89" spans="16:20" ht="12.75">
      <c r="P89" s="256"/>
      <c r="R89" s="256"/>
      <c r="T89" s="256"/>
    </row>
    <row r="90" spans="16:20" ht="12.75">
      <c r="P90" s="256"/>
      <c r="R90" s="256"/>
      <c r="T90" s="256"/>
    </row>
    <row r="91" spans="16:20" ht="12.75">
      <c r="P91" s="256"/>
      <c r="R91" s="256"/>
      <c r="T91" s="256"/>
    </row>
    <row r="92" spans="16:20" ht="12.75">
      <c r="P92" s="256"/>
      <c r="R92" s="256"/>
      <c r="T92" s="256"/>
    </row>
    <row r="93" spans="16:20" ht="12.75">
      <c r="P93" s="256"/>
      <c r="R93" s="256"/>
      <c r="T93" s="256"/>
    </row>
  </sheetData>
  <printOptions horizontalCentered="1" verticalCentered="1"/>
  <pageMargins left="0.25" right="0.25" top="0.16" bottom="0.3" header="0.34" footer="0.22"/>
  <pageSetup fitToHeight="1" fitToWidth="1" horizontalDpi="600" verticalDpi="600" orientation="landscape" paperSize="17" scale="84" r:id="rId1"/>
  <headerFooter alignWithMargins="0">
    <oddFooter>&amp;L&amp;8&amp;D  &amp;T &amp;Z&amp;F    TAB:  &amp;A 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IT</cp:lastModifiedBy>
  <cp:lastPrinted>2011-12-07T15:13:16Z</cp:lastPrinted>
  <dcterms:created xsi:type="dcterms:W3CDTF">2011-10-26T21:34:57Z</dcterms:created>
  <dcterms:modified xsi:type="dcterms:W3CDTF">2012-01-11T22:09:30Z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>http://www.co.marion.or.us/nr/rdonlyres/5306aeb3-484d-4458-9fcf-c84e07923930/39415/2011workshopsurveymarioncofiles1.xls</vt:lpwstr>
  </property>
  <property fmtid="{D5CDD505-2E9C-101B-9397-08002B2CF9AE}" pid="4" name="display_urn:schemas-microsoft-com:office:office#Edit">
    <vt:lpwstr>mariondmz\mlafrance</vt:lpwstr>
  </property>
  <property fmtid="{D5CDD505-2E9C-101B-9397-08002B2CF9AE}" pid="5" name="display_urn:schemas-microsoft-com:office:office#Auth">
    <vt:lpwstr>mariondmz\mlafrance</vt:lpwstr>
  </property>
</Properties>
</file>